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projects\Trails\Bonner\TIGER\2019Update\"/>
    </mc:Choice>
  </mc:AlternateContent>
  <xr:revisionPtr revIDLastSave="0" documentId="13_ncr:1_{1657000A-B2EA-412D-99D5-867BFEFA6658}" xr6:coauthVersionLast="36" xr6:coauthVersionMax="36" xr10:uidLastSave="{00000000-0000-0000-0000-000000000000}"/>
  <bookViews>
    <workbookView xWindow="0" yWindow="0" windowWidth="19200" windowHeight="7095" tabRatio="885" xr2:uid="{00000000-000D-0000-FFFF-FFFF00000000}"/>
  </bookViews>
  <sheets>
    <sheet name="Summary" sheetId="11" r:id="rId1"/>
    <sheet name="Assumptions" sheetId="2" r:id="rId2"/>
    <sheet name="calcs-constr,design,maintenance" sheetId="14" r:id="rId3"/>
    <sheet name="calcs-BikePedUserBenefit" sheetId="7" r:id="rId4"/>
    <sheet name="calcs-PropertyValuesRoute200" sheetId="10" r:id="rId5"/>
    <sheet name="calcs-PropertyValuesWaterfront" sheetId="15" r:id="rId6"/>
    <sheet name="calculations-BikePedHealthBenef" sheetId="8" r:id="rId7"/>
    <sheet name="calculations-GHG" sheetId="6" r:id="rId8"/>
  </sheets>
  <definedNames>
    <definedName name="cite_acs">"U.S. Department of Commerce. 2015. Census Bureau, American Community Survey Office, Washington, D.C."</definedName>
    <definedName name="cite_census">"U.S. Department of Commerce. 2000. Census Bureau, Systems Support Division, Washington, D.C."</definedName>
    <definedName name="_xlnm.Print_Area" localSheetId="0">Summary!$A$1:$O$25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9" i="6" l="1"/>
  <c r="J12" i="7"/>
  <c r="J11" i="7"/>
  <c r="G20" i="14"/>
  <c r="C38" i="14"/>
  <c r="E38" i="14"/>
  <c r="G38" i="14"/>
  <c r="C21" i="10"/>
  <c r="O5" i="11"/>
  <c r="O6" i="11"/>
  <c r="O7" i="11"/>
  <c r="O8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M5" i="11"/>
  <c r="M6" i="11"/>
  <c r="M7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4" i="11"/>
  <c r="H30" i="14"/>
  <c r="H29" i="14"/>
  <c r="H28" i="14"/>
  <c r="H27" i="14"/>
  <c r="G27" i="14"/>
  <c r="H34" i="14"/>
  <c r="H33" i="14"/>
  <c r="H32" i="14"/>
  <c r="G32" i="14"/>
  <c r="G23" i="14"/>
  <c r="H24" i="14"/>
  <c r="H23" i="14"/>
  <c r="G22" i="14"/>
  <c r="H22" i="14"/>
  <c r="E19" i="14"/>
  <c r="C18" i="14"/>
  <c r="B5" i="14"/>
  <c r="B6" i="6" l="1"/>
  <c r="B3" i="8"/>
  <c r="B29" i="2"/>
  <c r="B16" i="6"/>
  <c r="B10" i="8"/>
  <c r="B8" i="14" l="1"/>
  <c r="G34" i="14" s="1"/>
  <c r="G28" i="14" l="1"/>
  <c r="G33" i="14"/>
  <c r="G24" i="14"/>
  <c r="G25" i="14"/>
  <c r="G30" i="14"/>
  <c r="G35" i="14"/>
  <c r="G29" i="14"/>
  <c r="G37" i="14"/>
  <c r="G21" i="14"/>
  <c r="G26" i="14"/>
  <c r="G31" i="14"/>
  <c r="G36" i="14"/>
  <c r="B9" i="15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C19" i="8"/>
  <c r="C22" i="8" l="1"/>
  <c r="C36" i="8"/>
  <c r="C32" i="8"/>
  <c r="C28" i="8"/>
  <c r="C24" i="8"/>
  <c r="C20" i="8"/>
  <c r="C34" i="8"/>
  <c r="C30" i="8"/>
  <c r="C26" i="8"/>
  <c r="C18" i="8"/>
  <c r="C33" i="8"/>
  <c r="C29" i="8"/>
  <c r="C25" i="8"/>
  <c r="C21" i="8"/>
  <c r="C35" i="8"/>
  <c r="C31" i="8"/>
  <c r="C27" i="8"/>
  <c r="C23" i="8"/>
  <c r="B10" i="15"/>
  <c r="E5" i="11"/>
  <c r="E4" i="11"/>
  <c r="B8" i="15"/>
  <c r="B18" i="15"/>
  <c r="B19" i="15" s="1"/>
  <c r="B20" i="15" s="1"/>
  <c r="B21" i="15" s="1"/>
  <c r="B22" i="15" s="1"/>
  <c r="B23" i="15" s="1"/>
  <c r="B24" i="15" s="1"/>
  <c r="B25" i="15" s="1"/>
  <c r="B26" i="15" s="1"/>
  <c r="B27" i="15" s="1"/>
  <c r="B28" i="15" s="1"/>
  <c r="B29" i="15" s="1"/>
  <c r="B30" i="15" s="1"/>
  <c r="B31" i="15" s="1"/>
  <c r="B32" i="15" s="1"/>
  <c r="B33" i="15" s="1"/>
  <c r="B34" i="15" s="1"/>
  <c r="B35" i="15" s="1"/>
  <c r="B36" i="15" s="1"/>
  <c r="B37" i="15" s="1"/>
  <c r="A18" i="15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O4" i="11"/>
  <c r="N8" i="11"/>
  <c r="N9" i="11"/>
  <c r="N10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4" i="11"/>
  <c r="H17" i="14"/>
  <c r="F17" i="14"/>
  <c r="E18" i="14"/>
  <c r="N5" i="11" s="1"/>
  <c r="B18" i="14"/>
  <c r="B19" i="14" s="1"/>
  <c r="B20" i="14" s="1"/>
  <c r="B21" i="14" s="1"/>
  <c r="B22" i="14" s="1"/>
  <c r="B23" i="14" s="1"/>
  <c r="B24" i="14" s="1"/>
  <c r="B25" i="14" s="1"/>
  <c r="B26" i="14" s="1"/>
  <c r="B27" i="14" s="1"/>
  <c r="B28" i="14" s="1"/>
  <c r="B29" i="14" s="1"/>
  <c r="B30" i="14" s="1"/>
  <c r="B31" i="14" s="1"/>
  <c r="B32" i="14" s="1"/>
  <c r="B33" i="14" s="1"/>
  <c r="B34" i="14" s="1"/>
  <c r="B35" i="14" s="1"/>
  <c r="B36" i="14" s="1"/>
  <c r="B37" i="14" s="1"/>
  <c r="A18" i="14"/>
  <c r="F18" i="14" l="1"/>
  <c r="H18" i="14"/>
  <c r="B11" i="15"/>
  <c r="D18" i="14"/>
  <c r="A19" i="14"/>
  <c r="H19" i="14" s="1"/>
  <c r="L4" i="11"/>
  <c r="C20" i="15" l="1"/>
  <c r="C19" i="15"/>
  <c r="N7" i="11"/>
  <c r="N6" i="11"/>
  <c r="F19" i="14"/>
  <c r="C21" i="15"/>
  <c r="D19" i="15"/>
  <c r="D35" i="15"/>
  <c r="D32" i="15"/>
  <c r="D33" i="15"/>
  <c r="D30" i="15"/>
  <c r="D27" i="15"/>
  <c r="D24" i="15"/>
  <c r="D25" i="15"/>
  <c r="D34" i="15"/>
  <c r="D31" i="15"/>
  <c r="D28" i="15"/>
  <c r="D29" i="15"/>
  <c r="D26" i="15"/>
  <c r="D23" i="15"/>
  <c r="D36" i="15"/>
  <c r="D37" i="15"/>
  <c r="D17" i="14"/>
  <c r="D19" i="14"/>
  <c r="A20" i="14"/>
  <c r="K5" i="11"/>
  <c r="K4" i="11"/>
  <c r="F5" i="11"/>
  <c r="F7" i="11"/>
  <c r="F11" i="11"/>
  <c r="F15" i="11"/>
  <c r="F19" i="11"/>
  <c r="F23" i="11"/>
  <c r="F4" i="11"/>
  <c r="B5" i="11"/>
  <c r="B6" i="11" s="1"/>
  <c r="B7" i="11" s="1"/>
  <c r="B8" i="11" s="1"/>
  <c r="B9" i="11" s="1"/>
  <c r="B10" i="11" s="1"/>
  <c r="B11" i="11" s="1"/>
  <c r="B12" i="11" s="1"/>
  <c r="B13" i="11" s="1"/>
  <c r="B14" i="11" s="1"/>
  <c r="B15" i="11" s="1"/>
  <c r="B16" i="11" s="1"/>
  <c r="B17" i="11" s="1"/>
  <c r="B18" i="11" s="1"/>
  <c r="B19" i="11" s="1"/>
  <c r="B20" i="11" s="1"/>
  <c r="B21" i="11" s="1"/>
  <c r="B22" i="11" s="1"/>
  <c r="B23" i="11" s="1"/>
  <c r="B24" i="11" s="1"/>
  <c r="A5" i="11"/>
  <c r="B11" i="10"/>
  <c r="B12" i="10" s="1"/>
  <c r="B13" i="10" s="1"/>
  <c r="B14" i="10" s="1"/>
  <c r="B20" i="10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B33" i="10" s="1"/>
  <c r="B34" i="10" s="1"/>
  <c r="B35" i="10" s="1"/>
  <c r="B36" i="10" s="1"/>
  <c r="B37" i="10" s="1"/>
  <c r="B38" i="10" s="1"/>
  <c r="B39" i="10" s="1"/>
  <c r="A20" i="10"/>
  <c r="A21" i="10" s="1"/>
  <c r="A22" i="10" s="1"/>
  <c r="A23" i="10" s="1"/>
  <c r="F8" i="11"/>
  <c r="F9" i="11"/>
  <c r="F10" i="11"/>
  <c r="F12" i="11"/>
  <c r="F13" i="11"/>
  <c r="F14" i="11"/>
  <c r="F16" i="11"/>
  <c r="F17" i="11"/>
  <c r="F18" i="11"/>
  <c r="F20" i="11"/>
  <c r="F21" i="11"/>
  <c r="F22" i="11"/>
  <c r="F24" i="11"/>
  <c r="F6" i="11"/>
  <c r="C17" i="7" l="1"/>
  <c r="C13" i="7"/>
  <c r="C29" i="7"/>
  <c r="C28" i="7"/>
  <c r="C24" i="7"/>
  <c r="C20" i="7"/>
  <c r="C16" i="7"/>
  <c r="B15" i="10"/>
  <c r="C12" i="7"/>
  <c r="C27" i="7"/>
  <c r="C23" i="7"/>
  <c r="C19" i="7"/>
  <c r="A6" i="11"/>
  <c r="A7" i="11" s="1"/>
  <c r="A8" i="11" s="1"/>
  <c r="L5" i="11"/>
  <c r="E9" i="11"/>
  <c r="H20" i="14"/>
  <c r="L7" i="11"/>
  <c r="L6" i="11"/>
  <c r="F20" i="14"/>
  <c r="D22" i="15"/>
  <c r="D20" i="15"/>
  <c r="D21" i="15"/>
  <c r="D20" i="14"/>
  <c r="A21" i="14"/>
  <c r="C23" i="10"/>
  <c r="C22" i="10"/>
  <c r="E7" i="11" s="1"/>
  <c r="C38" i="10"/>
  <c r="E23" i="11" s="1"/>
  <c r="C34" i="10"/>
  <c r="E19" i="11" s="1"/>
  <c r="C30" i="10"/>
  <c r="E15" i="11" s="1"/>
  <c r="C26" i="10"/>
  <c r="E11" i="11" s="1"/>
  <c r="C37" i="10"/>
  <c r="E22" i="11" s="1"/>
  <c r="C33" i="10"/>
  <c r="E18" i="11" s="1"/>
  <c r="C29" i="10"/>
  <c r="E14" i="11" s="1"/>
  <c r="C25" i="10"/>
  <c r="E10" i="11" s="1"/>
  <c r="E6" i="11"/>
  <c r="C36" i="10"/>
  <c r="E21" i="11" s="1"/>
  <c r="C32" i="10"/>
  <c r="E17" i="11" s="1"/>
  <c r="C28" i="10"/>
  <c r="E13" i="11" s="1"/>
  <c r="C35" i="10"/>
  <c r="E20" i="11" s="1"/>
  <c r="C31" i="10"/>
  <c r="E16" i="11" s="1"/>
  <c r="C27" i="10"/>
  <c r="E12" i="11" s="1"/>
  <c r="C39" i="10"/>
  <c r="E24" i="11" s="1"/>
  <c r="A24" i="10"/>
  <c r="C25" i="7" l="1"/>
  <c r="C14" i="7"/>
  <c r="C30" i="7"/>
  <c r="C18" i="7"/>
  <c r="C22" i="7"/>
  <c r="C26" i="7"/>
  <c r="C21" i="7"/>
  <c r="C15" i="7"/>
  <c r="A9" i="11"/>
  <c r="L8" i="11"/>
  <c r="D23" i="10"/>
  <c r="E8" i="11"/>
  <c r="F21" i="14"/>
  <c r="H21" i="14"/>
  <c r="D38" i="15"/>
  <c r="F30" i="15" s="1"/>
  <c r="D21" i="14"/>
  <c r="A22" i="14"/>
  <c r="D22" i="10"/>
  <c r="D21" i="10"/>
  <c r="A25" i="10"/>
  <c r="D24" i="10"/>
  <c r="A10" i="11" l="1"/>
  <c r="L9" i="11"/>
  <c r="F22" i="14"/>
  <c r="D22" i="14"/>
  <c r="A23" i="14"/>
  <c r="A26" i="10"/>
  <c r="D25" i="10"/>
  <c r="A11" i="11" l="1"/>
  <c r="L10" i="11"/>
  <c r="F23" i="14"/>
  <c r="D23" i="14"/>
  <c r="A24" i="14"/>
  <c r="A27" i="10"/>
  <c r="D26" i="10"/>
  <c r="A12" i="11" l="1"/>
  <c r="L11" i="11"/>
  <c r="F24" i="14"/>
  <c r="D24" i="14"/>
  <c r="A25" i="14"/>
  <c r="D27" i="10"/>
  <c r="A28" i="10"/>
  <c r="D3" i="8"/>
  <c r="C3" i="8"/>
  <c r="B6" i="8"/>
  <c r="A13" i="11" l="1"/>
  <c r="L12" i="11"/>
  <c r="F25" i="14"/>
  <c r="H25" i="14"/>
  <c r="D25" i="14"/>
  <c r="A26" i="14"/>
  <c r="A29" i="10"/>
  <c r="D28" i="10"/>
  <c r="A14" i="11" l="1"/>
  <c r="L13" i="11"/>
  <c r="F26" i="14"/>
  <c r="H26" i="14"/>
  <c r="D26" i="14"/>
  <c r="A27" i="14"/>
  <c r="A30" i="10"/>
  <c r="D29" i="10"/>
  <c r="A15" i="11" l="1"/>
  <c r="L14" i="11"/>
  <c r="F27" i="14"/>
  <c r="D27" i="14"/>
  <c r="A28" i="14"/>
  <c r="A31" i="10"/>
  <c r="D30" i="10"/>
  <c r="A16" i="11" l="1"/>
  <c r="L15" i="11"/>
  <c r="F28" i="14"/>
  <c r="D28" i="14"/>
  <c r="A29" i="14"/>
  <c r="A32" i="10"/>
  <c r="D31" i="10"/>
  <c r="A17" i="11" l="1"/>
  <c r="L16" i="11"/>
  <c r="F29" i="14"/>
  <c r="D29" i="14"/>
  <c r="A30" i="14"/>
  <c r="A33" i="10"/>
  <c r="D32" i="10"/>
  <c r="A18" i="11" l="1"/>
  <c r="L17" i="11"/>
  <c r="F30" i="14"/>
  <c r="D30" i="14"/>
  <c r="A31" i="14"/>
  <c r="A34" i="10"/>
  <c r="D33" i="10"/>
  <c r="A19" i="11" l="1"/>
  <c r="L18" i="11"/>
  <c r="H31" i="14"/>
  <c r="F31" i="14"/>
  <c r="D31" i="14"/>
  <c r="A32" i="14"/>
  <c r="A35" i="10"/>
  <c r="D34" i="10"/>
  <c r="A20" i="11" l="1"/>
  <c r="L19" i="11"/>
  <c r="F32" i="14"/>
  <c r="D32" i="14"/>
  <c r="A33" i="14"/>
  <c r="A36" i="10"/>
  <c r="D35" i="10"/>
  <c r="A21" i="11" l="1"/>
  <c r="L20" i="11"/>
  <c r="F33" i="14"/>
  <c r="D33" i="14"/>
  <c r="A34" i="14"/>
  <c r="A37" i="10"/>
  <c r="D36" i="10"/>
  <c r="A22" i="11" l="1"/>
  <c r="L21" i="11"/>
  <c r="F34" i="14"/>
  <c r="D34" i="14"/>
  <c r="A35" i="14"/>
  <c r="A38" i="10"/>
  <c r="D37" i="10"/>
  <c r="A23" i="11" l="1"/>
  <c r="L22" i="11"/>
  <c r="H35" i="14"/>
  <c r="F35" i="14"/>
  <c r="D35" i="14"/>
  <c r="A36" i="14"/>
  <c r="A39" i="10"/>
  <c r="D38" i="10"/>
  <c r="A24" i="11" l="1"/>
  <c r="L23" i="11"/>
  <c r="F36" i="14"/>
  <c r="H36" i="14"/>
  <c r="D36" i="14"/>
  <c r="A37" i="14"/>
  <c r="D39" i="10"/>
  <c r="L24" i="11" l="1"/>
  <c r="L25" i="11" s="1"/>
  <c r="C32" i="11" s="1"/>
  <c r="F37" i="14"/>
  <c r="F38" i="14" s="1"/>
  <c r="H37" i="14"/>
  <c r="H38" i="14" s="1"/>
  <c r="D37" i="14"/>
  <c r="D38" i="14" s="1"/>
  <c r="D40" i="10"/>
  <c r="B17" i="8" l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B36" i="8" s="1"/>
  <c r="A17" i="8"/>
  <c r="A18" i="8" s="1"/>
  <c r="D12" i="7"/>
  <c r="E12" i="7" s="1"/>
  <c r="D10" i="7"/>
  <c r="E10" i="7" s="1"/>
  <c r="D4" i="11" s="1"/>
  <c r="D11" i="7"/>
  <c r="E11" i="7" s="1"/>
  <c r="D5" i="11" s="1"/>
  <c r="D13" i="7"/>
  <c r="E13" i="7" s="1"/>
  <c r="D7" i="11" s="1"/>
  <c r="D14" i="7"/>
  <c r="E14" i="7" s="1"/>
  <c r="D8" i="11" s="1"/>
  <c r="D15" i="7"/>
  <c r="E15" i="7" s="1"/>
  <c r="D9" i="11" s="1"/>
  <c r="D16" i="7"/>
  <c r="E16" i="7" s="1"/>
  <c r="D10" i="11" s="1"/>
  <c r="D17" i="7"/>
  <c r="E17" i="7" s="1"/>
  <c r="D11" i="11" s="1"/>
  <c r="D18" i="7"/>
  <c r="E18" i="7" s="1"/>
  <c r="D12" i="11" s="1"/>
  <c r="D19" i="7"/>
  <c r="E19" i="7" s="1"/>
  <c r="D13" i="11" s="1"/>
  <c r="D20" i="7"/>
  <c r="E20" i="7" s="1"/>
  <c r="D14" i="11" s="1"/>
  <c r="D21" i="7"/>
  <c r="E21" i="7" s="1"/>
  <c r="D15" i="11" s="1"/>
  <c r="D22" i="7"/>
  <c r="E22" i="7" s="1"/>
  <c r="D16" i="11" s="1"/>
  <c r="D23" i="7"/>
  <c r="E23" i="7" s="1"/>
  <c r="D17" i="11" s="1"/>
  <c r="D24" i="7"/>
  <c r="E24" i="7" s="1"/>
  <c r="D18" i="11" s="1"/>
  <c r="D25" i="7"/>
  <c r="E25" i="7" s="1"/>
  <c r="D19" i="11" s="1"/>
  <c r="D26" i="7"/>
  <c r="E26" i="7" s="1"/>
  <c r="D20" i="11" s="1"/>
  <c r="D27" i="7"/>
  <c r="E27" i="7" s="1"/>
  <c r="D21" i="11" s="1"/>
  <c r="D28" i="7"/>
  <c r="E28" i="7" s="1"/>
  <c r="D22" i="11" s="1"/>
  <c r="D29" i="7"/>
  <c r="E29" i="7" s="1"/>
  <c r="D23" i="11" s="1"/>
  <c r="D30" i="7"/>
  <c r="E30" i="7" s="1"/>
  <c r="D24" i="11" s="1"/>
  <c r="B11" i="7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A11" i="7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19" i="6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B19" i="6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15" i="6"/>
  <c r="B14" i="6"/>
  <c r="B13" i="6"/>
  <c r="B7" i="6"/>
  <c r="C20" i="6" s="1"/>
  <c r="C8" i="2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D15" i="6"/>
  <c r="B12" i="6"/>
  <c r="C4" i="11" l="1"/>
  <c r="D6" i="11"/>
  <c r="C5" i="11"/>
  <c r="D18" i="8"/>
  <c r="A19" i="8"/>
  <c r="F17" i="7"/>
  <c r="F27" i="7"/>
  <c r="F28" i="7"/>
  <c r="F16" i="7"/>
  <c r="F13" i="7"/>
  <c r="F23" i="7"/>
  <c r="F29" i="7"/>
  <c r="F20" i="7"/>
  <c r="F19" i="7"/>
  <c r="F25" i="7"/>
  <c r="F22" i="7"/>
  <c r="F24" i="7"/>
  <c r="F15" i="7"/>
  <c r="F12" i="7"/>
  <c r="F21" i="7"/>
  <c r="F30" i="7"/>
  <c r="F26" i="7"/>
  <c r="F18" i="7"/>
  <c r="F14" i="7"/>
  <c r="C21" i="6"/>
  <c r="D20" i="6"/>
  <c r="E20" i="6" s="1"/>
  <c r="F20" i="6" s="1"/>
  <c r="G20" i="6" s="1"/>
  <c r="H20" i="6" s="1"/>
  <c r="I20" i="6" s="1"/>
  <c r="K20" i="6" s="1"/>
  <c r="K6" i="11" s="1"/>
  <c r="C6" i="11" l="1"/>
  <c r="A20" i="8"/>
  <c r="D19" i="8"/>
  <c r="F31" i="7"/>
  <c r="L20" i="6"/>
  <c r="C22" i="6"/>
  <c r="D21" i="6"/>
  <c r="E21" i="6" s="1"/>
  <c r="F21" i="6" s="1"/>
  <c r="G21" i="6" s="1"/>
  <c r="H21" i="6" s="1"/>
  <c r="I21" i="6" s="1"/>
  <c r="K21" i="6" s="1"/>
  <c r="K7" i="11" s="1"/>
  <c r="C7" i="11" l="1"/>
  <c r="A21" i="8"/>
  <c r="D20" i="8"/>
  <c r="L21" i="6"/>
  <c r="C23" i="6"/>
  <c r="D22" i="6"/>
  <c r="E22" i="6" s="1"/>
  <c r="F22" i="6" s="1"/>
  <c r="G22" i="6" s="1"/>
  <c r="H22" i="6" s="1"/>
  <c r="I22" i="6" s="1"/>
  <c r="K22" i="6" s="1"/>
  <c r="K8" i="11" s="1"/>
  <c r="C8" i="11" l="1"/>
  <c r="A22" i="8"/>
  <c r="D21" i="8"/>
  <c r="L22" i="6"/>
  <c r="C24" i="6"/>
  <c r="D23" i="6"/>
  <c r="E23" i="6" s="1"/>
  <c r="F23" i="6" s="1"/>
  <c r="G23" i="6" s="1"/>
  <c r="H23" i="6" s="1"/>
  <c r="I23" i="6" s="1"/>
  <c r="K23" i="6" s="1"/>
  <c r="K9" i="11" s="1"/>
  <c r="C9" i="11" l="1"/>
  <c r="D22" i="8"/>
  <c r="A23" i="8"/>
  <c r="L23" i="6"/>
  <c r="C25" i="6"/>
  <c r="D24" i="6"/>
  <c r="E24" i="6" s="1"/>
  <c r="F24" i="6" s="1"/>
  <c r="G24" i="6" s="1"/>
  <c r="H24" i="6" s="1"/>
  <c r="I24" i="6" s="1"/>
  <c r="K24" i="6" s="1"/>
  <c r="K10" i="11" s="1"/>
  <c r="C10" i="11" l="1"/>
  <c r="D23" i="8"/>
  <c r="A24" i="8"/>
  <c r="L24" i="6"/>
  <c r="C26" i="6"/>
  <c r="D25" i="6"/>
  <c r="E25" i="6" s="1"/>
  <c r="F25" i="6" s="1"/>
  <c r="G25" i="6" s="1"/>
  <c r="H25" i="6" s="1"/>
  <c r="I25" i="6" s="1"/>
  <c r="K25" i="6" s="1"/>
  <c r="K11" i="11" s="1"/>
  <c r="C11" i="11" l="1"/>
  <c r="D24" i="8"/>
  <c r="A25" i="8"/>
  <c r="L25" i="6"/>
  <c r="C27" i="6"/>
  <c r="D26" i="6"/>
  <c r="E26" i="6" s="1"/>
  <c r="F26" i="6" s="1"/>
  <c r="G26" i="6" s="1"/>
  <c r="H26" i="6" s="1"/>
  <c r="I26" i="6" s="1"/>
  <c r="K26" i="6" s="1"/>
  <c r="K12" i="11" s="1"/>
  <c r="C12" i="11" l="1"/>
  <c r="D25" i="8"/>
  <c r="A26" i="8"/>
  <c r="L26" i="6"/>
  <c r="C28" i="6"/>
  <c r="D27" i="6"/>
  <c r="E27" i="6" s="1"/>
  <c r="F27" i="6" s="1"/>
  <c r="G27" i="6" s="1"/>
  <c r="H27" i="6" s="1"/>
  <c r="I27" i="6" s="1"/>
  <c r="K27" i="6" s="1"/>
  <c r="K13" i="11" s="1"/>
  <c r="C13" i="11" l="1"/>
  <c r="D26" i="8"/>
  <c r="A27" i="8"/>
  <c r="L27" i="6"/>
  <c r="C29" i="6"/>
  <c r="D28" i="6"/>
  <c r="E28" i="6" s="1"/>
  <c r="F28" i="6" s="1"/>
  <c r="G28" i="6" s="1"/>
  <c r="H28" i="6" s="1"/>
  <c r="I28" i="6" s="1"/>
  <c r="K28" i="6" s="1"/>
  <c r="K14" i="11" s="1"/>
  <c r="C14" i="11" l="1"/>
  <c r="D27" i="8"/>
  <c r="A28" i="8"/>
  <c r="L28" i="6"/>
  <c r="C30" i="6"/>
  <c r="D29" i="6"/>
  <c r="E29" i="6" s="1"/>
  <c r="F29" i="6" s="1"/>
  <c r="G29" i="6" s="1"/>
  <c r="H29" i="6" s="1"/>
  <c r="I29" i="6" s="1"/>
  <c r="K29" i="6" s="1"/>
  <c r="K15" i="11" s="1"/>
  <c r="C15" i="11" l="1"/>
  <c r="D28" i="8"/>
  <c r="A29" i="8"/>
  <c r="L29" i="6"/>
  <c r="C31" i="6"/>
  <c r="D30" i="6"/>
  <c r="E30" i="6" s="1"/>
  <c r="F30" i="6" s="1"/>
  <c r="G30" i="6" s="1"/>
  <c r="H30" i="6" s="1"/>
  <c r="I30" i="6" s="1"/>
  <c r="K30" i="6" s="1"/>
  <c r="K16" i="11" s="1"/>
  <c r="C16" i="11" l="1"/>
  <c r="D29" i="8"/>
  <c r="A30" i="8"/>
  <c r="L30" i="6"/>
  <c r="C32" i="6"/>
  <c r="D31" i="6"/>
  <c r="E31" i="6" s="1"/>
  <c r="F31" i="6" s="1"/>
  <c r="G31" i="6" s="1"/>
  <c r="H31" i="6" s="1"/>
  <c r="I31" i="6" s="1"/>
  <c r="K31" i="6" s="1"/>
  <c r="K17" i="11" s="1"/>
  <c r="C17" i="11" l="1"/>
  <c r="D30" i="8"/>
  <c r="A31" i="8"/>
  <c r="L31" i="6"/>
  <c r="C33" i="6"/>
  <c r="D32" i="6"/>
  <c r="E32" i="6" s="1"/>
  <c r="F32" i="6" s="1"/>
  <c r="G32" i="6" s="1"/>
  <c r="H32" i="6" s="1"/>
  <c r="I32" i="6" s="1"/>
  <c r="K32" i="6" s="1"/>
  <c r="K18" i="11" s="1"/>
  <c r="C18" i="11" l="1"/>
  <c r="D31" i="8"/>
  <c r="A32" i="8"/>
  <c r="L32" i="6"/>
  <c r="C34" i="6"/>
  <c r="D33" i="6"/>
  <c r="E33" i="6" s="1"/>
  <c r="F33" i="6" s="1"/>
  <c r="G33" i="6" s="1"/>
  <c r="H33" i="6" s="1"/>
  <c r="I33" i="6" s="1"/>
  <c r="K33" i="6" s="1"/>
  <c r="K19" i="11" s="1"/>
  <c r="C19" i="11" l="1"/>
  <c r="D32" i="8"/>
  <c r="A33" i="8"/>
  <c r="L33" i="6"/>
  <c r="C35" i="6"/>
  <c r="D34" i="6"/>
  <c r="E34" i="6" s="1"/>
  <c r="F34" i="6" s="1"/>
  <c r="G34" i="6" s="1"/>
  <c r="H34" i="6" s="1"/>
  <c r="I34" i="6" s="1"/>
  <c r="K34" i="6" s="1"/>
  <c r="K20" i="11" s="1"/>
  <c r="C20" i="11" l="1"/>
  <c r="D33" i="8"/>
  <c r="A34" i="8"/>
  <c r="L34" i="6"/>
  <c r="C36" i="6"/>
  <c r="D35" i="6"/>
  <c r="E35" i="6" s="1"/>
  <c r="F35" i="6" s="1"/>
  <c r="G35" i="6" s="1"/>
  <c r="H35" i="6" s="1"/>
  <c r="I35" i="6" s="1"/>
  <c r="K35" i="6" s="1"/>
  <c r="K21" i="11" s="1"/>
  <c r="C21" i="11" l="1"/>
  <c r="D34" i="8"/>
  <c r="A35" i="8"/>
  <c r="L35" i="6"/>
  <c r="C37" i="6"/>
  <c r="D36" i="6"/>
  <c r="E36" i="6" s="1"/>
  <c r="F36" i="6" s="1"/>
  <c r="G36" i="6" s="1"/>
  <c r="H36" i="6" s="1"/>
  <c r="I36" i="6" s="1"/>
  <c r="K36" i="6" s="1"/>
  <c r="K22" i="11" s="1"/>
  <c r="C22" i="11" l="1"/>
  <c r="D35" i="8"/>
  <c r="A36" i="8"/>
  <c r="L36" i="6"/>
  <c r="C38" i="6"/>
  <c r="D37" i="6"/>
  <c r="E37" i="6" s="1"/>
  <c r="F37" i="6" s="1"/>
  <c r="G37" i="6" s="1"/>
  <c r="H37" i="6" s="1"/>
  <c r="I37" i="6" s="1"/>
  <c r="K37" i="6" s="1"/>
  <c r="K23" i="11" s="1"/>
  <c r="C23" i="11" l="1"/>
  <c r="D36" i="8"/>
  <c r="L37" i="6"/>
  <c r="D38" i="6"/>
  <c r="E38" i="6" s="1"/>
  <c r="F38" i="6" s="1"/>
  <c r="G38" i="6" s="1"/>
  <c r="H38" i="6" s="1"/>
  <c r="I38" i="6" s="1"/>
  <c r="K38" i="6" s="1"/>
  <c r="K24" i="11" s="1"/>
  <c r="C24" i="11" l="1"/>
  <c r="C25" i="11" s="1"/>
  <c r="D37" i="8"/>
  <c r="L38" i="6"/>
  <c r="L39" i="6" s="1"/>
  <c r="C31" i="11" l="1"/>
  <c r="C33" i="11" s="1"/>
</calcChain>
</file>

<file path=xl/sharedStrings.xml><?xml version="1.0" encoding="utf-8"?>
<sst xmlns="http://schemas.openxmlformats.org/spreadsheetml/2006/main" count="344" uniqueCount="188">
  <si>
    <t>Value</t>
  </si>
  <si>
    <t>Source</t>
  </si>
  <si>
    <t>Project life</t>
  </si>
  <si>
    <t>Values expressed in</t>
  </si>
  <si>
    <t>Unit</t>
  </si>
  <si>
    <t>$</t>
  </si>
  <si>
    <t>Calendar Year</t>
  </si>
  <si>
    <t>Costs</t>
  </si>
  <si>
    <t>O&amp;M</t>
  </si>
  <si>
    <t>Benefits</t>
  </si>
  <si>
    <t>Total</t>
  </si>
  <si>
    <t>Change in vehicle miles traveled</t>
  </si>
  <si>
    <t>CO2/gallon</t>
  </si>
  <si>
    <t>metric tons/gallon</t>
  </si>
  <si>
    <t>miles</t>
  </si>
  <si>
    <t>days</t>
  </si>
  <si>
    <t>ACS table S0801, Ponderay city</t>
  </si>
  <si>
    <t>people</t>
  </si>
  <si>
    <t>Share of workers commuting by bicycle</t>
  </si>
  <si>
    <t>percent</t>
  </si>
  <si>
    <t>Working days/year</t>
  </si>
  <si>
    <t>Fair-weather working days/year</t>
  </si>
  <si>
    <t>assume 7 months/year (April-Oct)</t>
  </si>
  <si>
    <t>Fuel economy</t>
  </si>
  <si>
    <t>miles per gallon</t>
  </si>
  <si>
    <t>miles/commuter/day</t>
  </si>
  <si>
    <t>Distance of POBT x 2 (minimum distance)</t>
  </si>
  <si>
    <t>Miles traveled per active travel commute</t>
  </si>
  <si>
    <t>VMT avoided</t>
  </si>
  <si>
    <t>Litman, 2017; p. 10</t>
  </si>
  <si>
    <t>Social cost of carbon</t>
  </si>
  <si>
    <t>ACS table S0801, Sandpoint city</t>
  </si>
  <si>
    <t>Year</t>
  </si>
  <si>
    <t>Population, 2000</t>
  </si>
  <si>
    <t>U.S. Department of Commerce. 2000. Census Bureau, Systems Support Division, Washington, D.C.</t>
  </si>
  <si>
    <t>Average annual population growth</t>
  </si>
  <si>
    <t>average annual population growth</t>
  </si>
  <si>
    <t>calculated</t>
  </si>
  <si>
    <t>Projected workers in 2019</t>
  </si>
  <si>
    <t>Workers</t>
  </si>
  <si>
    <t>Workers commuting by bicycle</t>
  </si>
  <si>
    <t>Miles of active commuting/day</t>
  </si>
  <si>
    <t>Miles of active commuting/year</t>
  </si>
  <si>
    <t>Avoided VMT</t>
  </si>
  <si>
    <t>VMT avoided/1 mile active travel</t>
  </si>
  <si>
    <t>Avoided gallons fuel</t>
  </si>
  <si>
    <t>Average fuel consumption</t>
  </si>
  <si>
    <t>CO2 emissions per gallon of fuel</t>
  </si>
  <si>
    <t>Avoided CO2 emissions 
(metric tons/year)</t>
  </si>
  <si>
    <t>Share of workers commuting by bicycle, projected</t>
  </si>
  <si>
    <t>52 weeks * 5 days/week - 10 holidays</t>
  </si>
  <si>
    <t>Increase in number of trips due to connectivity</t>
  </si>
  <si>
    <t>annual trips</t>
  </si>
  <si>
    <t>Cook, T., S. O’Brien, K. Jackson, D. Findley, and S. Searcy. 2016. “Behavioral effects of completing a critical link in the American Tobacco Trail.” Transportation Research Record 2598: 19–26.</t>
  </si>
  <si>
    <t>Trail length</t>
  </si>
  <si>
    <t>New trips/year</t>
  </si>
  <si>
    <t>New miles/year</t>
  </si>
  <si>
    <t>User benefits from improved experience</t>
  </si>
  <si>
    <t>Population of Ponderay city</t>
  </si>
  <si>
    <t>percent of residents</t>
  </si>
  <si>
    <t>Brownson, R., R. Housemann, D. Brown, J. Jackson-Thompson, A. King, B. Malone, and J. Sallis. 2000. “Promoting Physical Activity in Rural Communities: Walking Trail Access, Use, and Effects.” American Journal of Preventive Medicine 18(3): 235-242.</t>
  </si>
  <si>
    <t>miles per week</t>
  </si>
  <si>
    <t>Miles walked per new user per week</t>
  </si>
  <si>
    <t>New regular exercisers</t>
  </si>
  <si>
    <t>Share of residents with no exercise</t>
  </si>
  <si>
    <t>https://www.cdc.gov/nchs/fastats/deaths.htm</t>
  </si>
  <si>
    <t>deaths per 100,000 people</t>
  </si>
  <si>
    <t>Mortality rate to input into HEAT</t>
  </si>
  <si>
    <t>Value of a statistical life</t>
  </si>
  <si>
    <t>2015$</t>
  </si>
  <si>
    <t>Expected reduction in mortality</t>
  </si>
  <si>
    <t>Annual value of avoided mortality due to increased walking</t>
  </si>
  <si>
    <t>http://www.heatwalkingcycling.org/index.php?pg=walking&amp;cs=result&amp;m=</t>
  </si>
  <si>
    <t>Share of non-regular walkers expected increase activity due to trail</t>
  </si>
  <si>
    <t>length of trail available to residents</t>
  </si>
  <si>
    <t>miles VMT avoided/1 mile non-motorized travel</t>
  </si>
  <si>
    <t>Note: This does not include people who will be using trail for transportation</t>
  </si>
  <si>
    <t>Lansford Jr, N.H. and Jones, L.L., 1995. Recreational and aesthetic value of water using hedonic price analysis. Journal of Agricultural and Resource Economics, 20(2):341-355.</t>
  </si>
  <si>
    <t>Percentage of sale price attributable to proximity to proximity to lake</t>
  </si>
  <si>
    <t>percent of home sale price</t>
  </si>
  <si>
    <t>Asabere, P. and F. Huffman. 2009. “The relative impacts of trails and greenbelts on home price.” The Journal of Real Estate Finance and Economics 38(4): 408-419.</t>
  </si>
  <si>
    <t>Percentage of sale price attributable to proximity to trail &amp; greenbelt</t>
  </si>
  <si>
    <t>Lindsey, G., Man, J., Payton, S. and Dickson, K., 2004. Property values, recreation values, and urban greenways. Journal of Park and Recreation Administration, 22(3), pp.69-90.</t>
  </si>
  <si>
    <t>Percentage of sale price attributable to homes within 1/2 mile of trail</t>
  </si>
  <si>
    <t>Karadeniz, D. 2008. The Impact of the Little Miami Scenic Trail on Single Family Residential Property Values (Unpublished Master’s Thesis). University of Cincinnati School of Planning.</t>
  </si>
  <si>
    <t>Reduction in sale price for every foot farther from the trail</t>
  </si>
  <si>
    <t>2005$</t>
  </si>
  <si>
    <t>Median sale price in Karadeniz (2008) study</t>
  </si>
  <si>
    <t>Difference in sale price for homes 1/2 mile away vs 1 mile away in Karadeniz (2008)</t>
  </si>
  <si>
    <t>Price premium for homes within 1/2 mile from trail</t>
  </si>
  <si>
    <t>Estimated increase in median home value, Ponderay</t>
  </si>
  <si>
    <t>Total increase in property values, Ponderay</t>
  </si>
  <si>
    <t>Increased property value
One-time benefit spread over three years</t>
  </si>
  <si>
    <t>Safety</t>
  </si>
  <si>
    <t>Increase in bike and pedestrian use and enjoyment due to new access</t>
  </si>
  <si>
    <t>Increased property values from access to waterfront and trail</t>
  </si>
  <si>
    <t>Reduced mortality due to increased physical activity of residents</t>
  </si>
  <si>
    <t>Economic Competitiveness</t>
  </si>
  <si>
    <t>Emission reduction due to increased non-motorized transportation</t>
  </si>
  <si>
    <t>Total benefits, 7% discount rate</t>
  </si>
  <si>
    <t>years</t>
  </si>
  <si>
    <t>Variable</t>
  </si>
  <si>
    <t>Total costs, 7% discount rate</t>
  </si>
  <si>
    <t>Quality of Life</t>
  </si>
  <si>
    <t>housing units</t>
  </si>
  <si>
    <t>Environmental Sustainability</t>
  </si>
  <si>
    <t>round trips per day</t>
  </si>
  <si>
    <t>Note: This is a conservative estimate b/c it does not account for new development.</t>
  </si>
  <si>
    <t xml:space="preserve">p 10. Litman, T. 2017 "Evaluating active transport benefits and costs." Victoria Transport Policy Institute. Victoria, BC: Victoria Transport Policy Institute. Retrieved from http://www.vtpi.org/nmt-tdm.pdf. </t>
  </si>
  <si>
    <t xml:space="preserve">p. 17; Litman, T. 2017 "Evaluating active transport benefits and costs." Victoria Transport Policy Institute. Victoria, BC: Victoria Transport Policy Institute. Retrieved from http://www.vtpi.org/nmt-tdm.pdf. </t>
  </si>
  <si>
    <t>Current average users/day, summer</t>
  </si>
  <si>
    <t>Current average users/day, non-summer</t>
  </si>
  <si>
    <t>7% Discount Rate</t>
  </si>
  <si>
    <t>Total Benefits</t>
  </si>
  <si>
    <t>Total Costs</t>
  </si>
  <si>
    <t>Benefit-Cost Ratios</t>
  </si>
  <si>
    <t>BEBO Arch Bridge design and engineering</t>
  </si>
  <si>
    <t>2017$</t>
  </si>
  <si>
    <t>BEBO Arch Bridge construction, contingency, oversight</t>
  </si>
  <si>
    <t>Design and planning, undiscounted</t>
  </si>
  <si>
    <t>Construction, undiscounted</t>
  </si>
  <si>
    <t>Operation and maintenance, undiscounted</t>
  </si>
  <si>
    <t>Assumptions:</t>
  </si>
  <si>
    <t>http://bonnercounty.us/assessor/data-files/</t>
  </si>
  <si>
    <t>Total value, waterfront lots</t>
  </si>
  <si>
    <t>Lot RPP00000118252A</t>
  </si>
  <si>
    <t>Lot RPP00000117850A</t>
  </si>
  <si>
    <t>Lot RPP00000117800A</t>
  </si>
  <si>
    <t>Lot RPP00000118150A</t>
  </si>
  <si>
    <t>Lot RPP00000118275A</t>
  </si>
  <si>
    <t>Average loss of value due to inaccessibility</t>
  </si>
  <si>
    <t>Expected increase in value due to new access</t>
  </si>
  <si>
    <t>Expected new value due to new access</t>
  </si>
  <si>
    <t>Present Value, design and planning,
2017$
7% discount rate</t>
  </si>
  <si>
    <t>Present Value, construction,
2017$
7% discount rate</t>
  </si>
  <si>
    <t>Present Value, O&amp;M,
2017$
7% discount rate</t>
  </si>
  <si>
    <t>per non-motorized user mile, 2017$</t>
  </si>
  <si>
    <t>User benefits
2017$</t>
  </si>
  <si>
    <t>Present Value, user benefits
2017$
7% discount rate</t>
  </si>
  <si>
    <t>https://data.bls.gov/cgi-bin/cpicalc.pl?cost1=141%2C700&amp;year1=2015&amp;year2=2017</t>
  </si>
  <si>
    <t>Present Value, property value benefits
2017$
7% discount rate</t>
  </si>
  <si>
    <t>Collins, K. and V. Mundlin. 2013. "Appraisal of Real Property: Ponderay Bay Trail Zone 2." Auble, Jolicoeur &amp; Gentry.</t>
  </si>
  <si>
    <t>Present Value, avoided  mortality due to increased walking
2017$
7% discount rate</t>
  </si>
  <si>
    <t>Annual value of avoided mortality due to increased walking
2017$</t>
  </si>
  <si>
    <t>Value of one 2015$ in 2017</t>
  </si>
  <si>
    <t>Social cost of carbon 
2017$/metric ton</t>
  </si>
  <si>
    <t>Avoided social cost of CO2 emissions
2017$</t>
  </si>
  <si>
    <t>Present Value, avoided social cost of CO2 emissions
2017$
7% discount rate</t>
  </si>
  <si>
    <t>Chip seals at Year 5 and Year 15</t>
  </si>
  <si>
    <t>1.5" overlays at Year 5 and Year 15</t>
  </si>
  <si>
    <t>Eric Olson, HMH Engineering, personal communication. April 5, 2017.</t>
  </si>
  <si>
    <t>Minor structural repair at Year 10</t>
  </si>
  <si>
    <t>Routine annual maintenance</t>
  </si>
  <si>
    <t>Snow plowing as needed</t>
  </si>
  <si>
    <t>Length of Pend d'Oreille Bay Trail</t>
  </si>
  <si>
    <t>Average increase in property values due to new access</t>
  </si>
  <si>
    <t>Values and Sources</t>
  </si>
  <si>
    <t>City of Ponderay</t>
  </si>
  <si>
    <t>Assume share will match neighboring community share</t>
  </si>
  <si>
    <r>
      <t xml:space="preserve">Increased social cohesion, community pride for disadvantaged community - </t>
    </r>
    <r>
      <rPr>
        <i/>
        <sz val="8"/>
        <color theme="1"/>
        <rFont val="Calibri"/>
        <family val="2"/>
        <scheme val="minor"/>
      </rPr>
      <t>Qualitative</t>
    </r>
  </si>
  <si>
    <r>
      <t xml:space="preserve">Facilitate brownfield redevelopment - </t>
    </r>
    <r>
      <rPr>
        <i/>
        <sz val="8"/>
        <color theme="1"/>
        <rFont val="Calibri"/>
        <family val="2"/>
        <scheme val="minor"/>
      </rPr>
      <t>Qualitative</t>
    </r>
  </si>
  <si>
    <r>
      <t xml:space="preserve">Jobs created due to additional money spent in community - </t>
    </r>
    <r>
      <rPr>
        <i/>
        <sz val="8"/>
        <color theme="1"/>
        <rFont val="Calibri"/>
        <family val="2"/>
        <scheme val="minor"/>
      </rPr>
      <t>Qualitative</t>
    </r>
  </si>
  <si>
    <r>
      <t xml:space="preserve">Avoided morbidity and mortality due to elimination of hazardous rail crossing - </t>
    </r>
    <r>
      <rPr>
        <i/>
        <sz val="8"/>
        <color theme="1"/>
        <rFont val="Calibri"/>
        <family val="2"/>
        <scheme val="minor"/>
      </rPr>
      <t>Qualitative</t>
    </r>
  </si>
  <si>
    <t>https://www.bts.gov/content/average-fuel-efficiency-us-light-duty-vehicles</t>
  </si>
  <si>
    <t>https://www.transportation.gov/sites/dot.gov/files/docs/mission/office-policy/transportation-policy/14091/benefit-cost-analysis-guidance-2018.pdf</t>
  </si>
  <si>
    <t>CPI conversion, 2015 to 2017</t>
  </si>
  <si>
    <t>https://data.bls.gov/cgi-bin/cpicalc.pl</t>
  </si>
  <si>
    <t>CPI conversion, 2016 to 2017</t>
  </si>
  <si>
    <t xml:space="preserve">U.S. Department of Commerce. 2018. Census Bureau, American Community Survey Office, Washington, D.C.; </t>
  </si>
  <si>
    <t>CPI conversion, 2018 to 2017</t>
  </si>
  <si>
    <t>Median home value, 2017</t>
  </si>
  <si>
    <t>Workers 16 years and over, 2017</t>
  </si>
  <si>
    <t>ACS table S0801, Ponderay city, 2017</t>
  </si>
  <si>
    <t>https://www.countyhealthrankings.org/app/idaho/2017/rankings/bonner/county/outcomes/overall/snapshot</t>
  </si>
  <si>
    <t>EcoVisio trail counter installed at trailhead. Data calculated for February 20, 2018 through June 4, 2019. "Summer" is May-Oct.</t>
  </si>
  <si>
    <t>Occupied housing units</t>
  </si>
  <si>
    <t>https://www.cdc.gov/nchs/data/nvsr/nvsr67/nvsr67_05.pdf</t>
  </si>
  <si>
    <t>Copy of Draft Cost Estimate_dd_nm_sd.xls</t>
  </si>
  <si>
    <t>2019$</t>
  </si>
  <si>
    <t>https://data.bls.gov/cgi-bin/cpicalc.pl?cost1=8%2C920%2C156.00&amp;year1=201901&amp;year2=201701</t>
  </si>
  <si>
    <t>Design occurs in Year 1, Construction in Year 2, chip seal and repair costs begin in Year 7 (5 years after construction completed)</t>
  </si>
  <si>
    <t>Design and planning</t>
  </si>
  <si>
    <t>Construction &amp; land acquisition</t>
  </si>
  <si>
    <t>2018$</t>
  </si>
  <si>
    <t>new summer users</t>
  </si>
  <si>
    <t>new winter users</t>
  </si>
  <si>
    <t>Population, 2017</t>
  </si>
  <si>
    <t>Total Property Value Increase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</si>
</sst>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1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&quot;$&quot;#,##0"/>
    <numFmt numFmtId="167" formatCode="&quot;$&quot;#,##0.00"/>
    <numFmt numFmtId="168" formatCode="0.00000"/>
    <numFmt numFmtId="169" formatCode="0.0000%"/>
    <numFmt numFmtId="170" formatCode="_(* #,##0.000_);_(* \(#,##0.0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330000"/>
      <name val="Arial"/>
      <family val="2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BFBFB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2" borderId="0" applyFill="0">
      <alignment horizontal="left" wrapText="1"/>
    </xf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84">
    <xf numFmtId="0" fontId="0" fillId="0" borderId="0" xfId="0"/>
    <xf numFmtId="0" fontId="2" fillId="0" borderId="0" xfId="0" applyFont="1"/>
    <xf numFmtId="9" fontId="0" fillId="0" borderId="0" xfId="2" applyFont="1"/>
    <xf numFmtId="164" fontId="0" fillId="0" borderId="0" xfId="2" applyNumberFormat="1" applyFont="1"/>
    <xf numFmtId="165" fontId="0" fillId="0" borderId="0" xfId="1" applyNumberFormat="1" applyFont="1"/>
    <xf numFmtId="1" fontId="0" fillId="0" borderId="0" xfId="0" applyNumberFormat="1"/>
    <xf numFmtId="165" fontId="0" fillId="0" borderId="0" xfId="0" applyNumberFormat="1"/>
    <xf numFmtId="43" fontId="0" fillId="0" borderId="0" xfId="0" applyNumberFormat="1"/>
    <xf numFmtId="166" fontId="0" fillId="0" borderId="0" xfId="0" applyNumberFormat="1"/>
    <xf numFmtId="165" fontId="0" fillId="0" borderId="0" xfId="1" applyNumberFormat="1" applyFont="1" applyAlignment="1">
      <alignment wrapText="1"/>
    </xf>
    <xf numFmtId="0" fontId="0" fillId="0" borderId="0" xfId="0" applyAlignment="1">
      <alignment wrapText="1"/>
    </xf>
    <xf numFmtId="0" fontId="2" fillId="3" borderId="0" xfId="0" applyFont="1" applyFill="1"/>
    <xf numFmtId="166" fontId="2" fillId="3" borderId="0" xfId="0" applyNumberFormat="1" applyFont="1" applyFill="1"/>
    <xf numFmtId="0" fontId="0" fillId="0" borderId="0" xfId="0" applyFill="1"/>
    <xf numFmtId="167" fontId="0" fillId="0" borderId="0" xfId="0" applyNumberFormat="1"/>
    <xf numFmtId="0" fontId="0" fillId="0" borderId="0" xfId="0" applyFont="1"/>
    <xf numFmtId="166" fontId="0" fillId="0" borderId="0" xfId="0" applyNumberFormat="1" applyFont="1"/>
    <xf numFmtId="0" fontId="3" fillId="0" borderId="0" xfId="0" applyFont="1" applyFill="1"/>
    <xf numFmtId="166" fontId="0" fillId="0" borderId="0" xfId="2" applyNumberFormat="1" applyFont="1"/>
    <xf numFmtId="9" fontId="0" fillId="0" borderId="0" xfId="2" applyNumberFormat="1" applyFont="1"/>
    <xf numFmtId="8" fontId="0" fillId="0" borderId="0" xfId="0" applyNumberFormat="1" applyFont="1"/>
    <xf numFmtId="6" fontId="0" fillId="0" borderId="0" xfId="0" applyNumberFormat="1" applyFont="1"/>
    <xf numFmtId="166" fontId="0" fillId="0" borderId="0" xfId="4" applyNumberFormat="1" applyFont="1"/>
    <xf numFmtId="167" fontId="0" fillId="0" borderId="0" xfId="2" applyNumberFormat="1" applyFont="1"/>
    <xf numFmtId="0" fontId="5" fillId="6" borderId="0" xfId="0" applyFont="1" applyFill="1"/>
    <xf numFmtId="0" fontId="0" fillId="4" borderId="0" xfId="0" applyFill="1" applyAlignment="1">
      <alignment wrapText="1"/>
    </xf>
    <xf numFmtId="0" fontId="0" fillId="4" borderId="3" xfId="0" applyFill="1" applyBorder="1" applyAlignment="1">
      <alignment wrapText="1"/>
    </xf>
    <xf numFmtId="0" fontId="5" fillId="5" borderId="2" xfId="0" applyFont="1" applyFill="1" applyBorder="1" applyAlignment="1">
      <alignment horizontal="center" wrapText="1"/>
    </xf>
    <xf numFmtId="0" fontId="0" fillId="4" borderId="0" xfId="0" applyFill="1" applyBorder="1"/>
    <xf numFmtId="0" fontId="5" fillId="5" borderId="3" xfId="0" applyFont="1" applyFill="1" applyBorder="1" applyAlignment="1">
      <alignment horizontal="center" wrapText="1"/>
    </xf>
    <xf numFmtId="0" fontId="0" fillId="3" borderId="0" xfId="0" applyFill="1"/>
    <xf numFmtId="0" fontId="0" fillId="5" borderId="0" xfId="0" applyFill="1" applyAlignment="1">
      <alignment wrapText="1"/>
    </xf>
    <xf numFmtId="0" fontId="7" fillId="8" borderId="4" xfId="0" applyFont="1" applyFill="1" applyBorder="1" applyAlignment="1">
      <alignment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6" fontId="8" fillId="0" borderId="4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5" fillId="0" borderId="0" xfId="0" applyFont="1"/>
    <xf numFmtId="0" fontId="9" fillId="0" borderId="0" xfId="5"/>
    <xf numFmtId="2" fontId="0" fillId="0" borderId="0" xfId="0" applyNumberFormat="1"/>
    <xf numFmtId="168" fontId="10" fillId="0" borderId="0" xfId="0" applyNumberFormat="1" applyFont="1"/>
    <xf numFmtId="2" fontId="8" fillId="0" borderId="4" xfId="0" applyNumberFormat="1" applyFont="1" applyBorder="1" applyAlignment="1">
      <alignment horizontal="center" vertical="center" wrapText="1"/>
    </xf>
    <xf numFmtId="166" fontId="0" fillId="0" borderId="0" xfId="0" applyNumberFormat="1" applyFont="1" applyFill="1"/>
    <xf numFmtId="0" fontId="0" fillId="0" borderId="0" xfId="0" applyFont="1" applyFill="1"/>
    <xf numFmtId="0" fontId="0" fillId="4" borderId="0" xfId="0" applyFill="1"/>
    <xf numFmtId="0" fontId="0" fillId="4" borderId="0" xfId="0" applyFill="1" applyAlignment="1">
      <alignment horizontal="right" wrapText="1"/>
    </xf>
    <xf numFmtId="165" fontId="0" fillId="4" borderId="0" xfId="1" applyNumberFormat="1" applyFont="1" applyFill="1" applyAlignment="1">
      <alignment wrapText="1"/>
    </xf>
    <xf numFmtId="169" fontId="0" fillId="0" borderId="0" xfId="2" applyNumberFormat="1" applyFont="1"/>
    <xf numFmtId="0" fontId="11" fillId="3" borderId="0" xfId="0" applyFont="1" applyFill="1"/>
    <xf numFmtId="0" fontId="11" fillId="4" borderId="0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wrapText="1"/>
    </xf>
    <xf numFmtId="0" fontId="11" fillId="4" borderId="3" xfId="0" applyFont="1" applyFill="1" applyBorder="1" applyAlignment="1">
      <alignment horizontal="center" wrapText="1"/>
    </xf>
    <xf numFmtId="0" fontId="11" fillId="4" borderId="2" xfId="0" applyFont="1" applyFill="1" applyBorder="1" applyAlignment="1">
      <alignment horizontal="center" wrapText="1"/>
    </xf>
    <xf numFmtId="0" fontId="11" fillId="4" borderId="0" xfId="0" applyFont="1" applyFill="1" applyAlignment="1">
      <alignment horizontal="center" wrapText="1"/>
    </xf>
    <xf numFmtId="166" fontId="11" fillId="0" borderId="0" xfId="0" applyNumberFormat="1" applyFont="1" applyBorder="1"/>
    <xf numFmtId="166" fontId="11" fillId="0" borderId="1" xfId="0" applyNumberFormat="1" applyFont="1" applyBorder="1" applyAlignment="1">
      <alignment wrapText="1"/>
    </xf>
    <xf numFmtId="166" fontId="11" fillId="0" borderId="0" xfId="0" applyNumberFormat="1" applyFont="1" applyBorder="1" applyAlignment="1">
      <alignment wrapText="1"/>
    </xf>
    <xf numFmtId="166" fontId="11" fillId="0" borderId="3" xfId="0" applyNumberFormat="1" applyFont="1" applyBorder="1" applyAlignment="1">
      <alignment wrapText="1"/>
    </xf>
    <xf numFmtId="166" fontId="11" fillId="0" borderId="2" xfId="0" applyNumberFormat="1" applyFont="1" applyBorder="1" applyAlignment="1">
      <alignment wrapText="1"/>
    </xf>
    <xf numFmtId="166" fontId="11" fillId="0" borderId="0" xfId="0" applyNumberFormat="1" applyFont="1" applyAlignment="1">
      <alignment wrapText="1"/>
    </xf>
    <xf numFmtId="0" fontId="0" fillId="7" borderId="0" xfId="0" applyFont="1" applyFill="1"/>
    <xf numFmtId="0" fontId="2" fillId="7" borderId="0" xfId="0" applyFont="1" applyFill="1"/>
    <xf numFmtId="166" fontId="2" fillId="7" borderId="3" xfId="0" applyNumberFormat="1" applyFont="1" applyFill="1" applyBorder="1"/>
    <xf numFmtId="166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166" fontId="0" fillId="0" borderId="0" xfId="0" applyNumberFormat="1" applyFill="1"/>
    <xf numFmtId="0" fontId="0" fillId="0" borderId="0" xfId="0" applyAlignment="1">
      <alignment vertical="center" wrapText="1"/>
    </xf>
    <xf numFmtId="0" fontId="5" fillId="5" borderId="1" xfId="0" applyFont="1" applyFill="1" applyBorder="1" applyAlignment="1">
      <alignment horizontal="center" wrapText="1"/>
    </xf>
    <xf numFmtId="0" fontId="5" fillId="5" borderId="0" xfId="0" applyFont="1" applyFill="1" applyBorder="1" applyAlignment="1">
      <alignment horizontal="center" wrapText="1"/>
    </xf>
    <xf numFmtId="0" fontId="5" fillId="5" borderId="3" xfId="0" applyFont="1" applyFill="1" applyBorder="1" applyAlignment="1">
      <alignment horizontal="center" wrapText="1"/>
    </xf>
    <xf numFmtId="0" fontId="6" fillId="6" borderId="0" xfId="0" applyFont="1" applyFill="1" applyAlignment="1">
      <alignment horizontal="center" wrapText="1"/>
    </xf>
    <xf numFmtId="0" fontId="6" fillId="6" borderId="0" xfId="0" applyFont="1" applyFill="1" applyBorder="1" applyAlignment="1">
      <alignment horizontal="center" wrapText="1"/>
    </xf>
    <xf numFmtId="0" fontId="6" fillId="6" borderId="3" xfId="0" applyFont="1" applyFill="1" applyBorder="1" applyAlignment="1">
      <alignment horizontal="center" wrapText="1"/>
    </xf>
    <xf numFmtId="0" fontId="9" fillId="0" borderId="0" xfId="5" applyFill="1"/>
    <xf numFmtId="170" fontId="0" fillId="0" borderId="0" xfId="1" applyNumberFormat="1" applyFont="1" applyFill="1"/>
    <xf numFmtId="166" fontId="0" fillId="0" borderId="0" xfId="2" applyNumberFormat="1" applyFont="1" applyFill="1"/>
    <xf numFmtId="164" fontId="0" fillId="0" borderId="0" xfId="2" applyNumberFormat="1" applyFont="1" applyFill="1"/>
    <xf numFmtId="1" fontId="0" fillId="0" borderId="0" xfId="2" applyNumberFormat="1" applyFont="1" applyFill="1"/>
    <xf numFmtId="43" fontId="0" fillId="0" borderId="0" xfId="1" applyFont="1" applyFill="1"/>
    <xf numFmtId="9" fontId="0" fillId="0" borderId="0" xfId="2" applyFont="1" applyFill="1"/>
    <xf numFmtId="1" fontId="0" fillId="0" borderId="0" xfId="0" applyNumberFormat="1" applyFill="1"/>
    <xf numFmtId="165" fontId="0" fillId="0" borderId="0" xfId="1" applyNumberFormat="1" applyFont="1" applyFill="1"/>
    <xf numFmtId="43" fontId="0" fillId="0" borderId="0" xfId="0" applyNumberFormat="1" applyFill="1"/>
    <xf numFmtId="167" fontId="0" fillId="0" borderId="0" xfId="0" applyNumberFormat="1" applyFill="1"/>
  </cellXfs>
  <cellStyles count="6">
    <cellStyle name="Comma" xfId="1" builtinId="3"/>
    <cellStyle name="Currency" xfId="4" builtinId="4"/>
    <cellStyle name="eps.body_source" xfId="3" xr:uid="{00000000-0005-0000-0000-000002000000}"/>
    <cellStyle name="Hyperlink" xfId="5" builtinId="8"/>
    <cellStyle name="Normal" xfId="0" builtinId="0"/>
    <cellStyle name="Percent" xfId="2" builtinId="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s://www.transportation.gov/sites/dot.gov/files/docs/mission/office-policy/transportation-policy/14091/benefit-cost-analysis-guidance-2018.pdf" TargetMode="External"/><Relationship Id="rId7" Type="http://schemas.openxmlformats.org/officeDocument/2006/relationships/hyperlink" Target="https://data.bls.gov/cgi-bin/cpicalc.pl" TargetMode="External"/><Relationship Id="rId2" Type="http://schemas.openxmlformats.org/officeDocument/2006/relationships/hyperlink" Target="https://www.transportation.gov/sites/dot.gov/files/docs/mission/office-policy/transportation-policy/14091/benefit-cost-analysis-guidance-2018.pdf" TargetMode="External"/><Relationship Id="rId1" Type="http://schemas.openxmlformats.org/officeDocument/2006/relationships/hyperlink" Target="https://www.bts.gov/content/average-fuel-efficiency-us-light-duty-vehicles" TargetMode="External"/><Relationship Id="rId6" Type="http://schemas.openxmlformats.org/officeDocument/2006/relationships/hyperlink" Target="https://www.transportation.gov/sites/dot.gov/files/docs/mission/office-policy/transportation-policy/14091/benefit-cost-analysis-guidance-2018.pdf" TargetMode="External"/><Relationship Id="rId5" Type="http://schemas.openxmlformats.org/officeDocument/2006/relationships/hyperlink" Target="https://www.transportation.gov/sites/dot.gov/files/docs/mission/office-policy/transportation-policy/14091/benefit-cost-analysis-guidance-2018.pdf" TargetMode="External"/><Relationship Id="rId4" Type="http://schemas.openxmlformats.org/officeDocument/2006/relationships/hyperlink" Target="https://www.transportation.gov/sites/dot.gov/files/docs/mission/office-policy/transportation-policy/14091/benefit-cost-analysis-guidance-2018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data.bls.gov/cgi-bin/cpicalc.pl?cost1=8%2C920%2C156.00&amp;year1=201901&amp;year2=201701" TargetMode="External"/><Relationship Id="rId1" Type="http://schemas.openxmlformats.org/officeDocument/2006/relationships/hyperlink" Target="https://data.bls.gov/cgi-bin/cpicalc.pl?cost1=8%2C920%2C156.00&amp;year1=201901&amp;year2=201701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untyhealthrankings.org/app/idaho/2017/rankings/bonner/county/outcomes/overall/snapshot" TargetMode="External"/><Relationship Id="rId2" Type="http://schemas.openxmlformats.org/officeDocument/2006/relationships/hyperlink" Target="https://data.bls.gov/cgi-bin/cpicalc.pl" TargetMode="External"/><Relationship Id="rId1" Type="http://schemas.openxmlformats.org/officeDocument/2006/relationships/hyperlink" Target="https://www.transportation.gov/sites/dot.gov/files/docs/mission/office-policy/transportation-policy/14091/benefit-cost-analysis-guidance-2018.pdf" TargetMode="External"/><Relationship Id="rId6" Type="http://schemas.openxmlformats.org/officeDocument/2006/relationships/printerSettings" Target="../printerSettings/printerSettings6.bin"/><Relationship Id="rId5" Type="http://schemas.openxmlformats.org/officeDocument/2006/relationships/hyperlink" Target="https://www.cdc.gov/nchs/data/nvsr/nvsr67/nvsr67_05.pdf" TargetMode="External"/><Relationship Id="rId4" Type="http://schemas.openxmlformats.org/officeDocument/2006/relationships/hyperlink" Target="https://www.cdc.gov/nchs/fastats/deaths.htm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bts.gov/content/average-fuel-efficiency-us-light-duty-vehicl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33"/>
  <sheetViews>
    <sheetView tabSelected="1" zoomScale="85" zoomScaleNormal="85" workbookViewId="0">
      <selection activeCell="H31" sqref="H31"/>
    </sheetView>
  </sheetViews>
  <sheetFormatPr defaultRowHeight="15" x14ac:dyDescent="0.25"/>
  <cols>
    <col min="1" max="1" width="4.5703125" bestFit="1" customWidth="1"/>
    <col min="2" max="2" width="10.5703125" customWidth="1"/>
    <col min="3" max="3" width="12.140625" customWidth="1"/>
    <col min="4" max="4" width="12.7109375" customWidth="1"/>
    <col min="5" max="5" width="15.85546875" style="10" customWidth="1"/>
    <col min="6" max="6" width="15.5703125" style="10" customWidth="1"/>
    <col min="7" max="7" width="19.5703125" style="10" customWidth="1"/>
    <col min="8" max="8" width="20.42578125" style="10" customWidth="1"/>
    <col min="9" max="9" width="15.28515625" style="10" customWidth="1"/>
    <col min="10" max="11" width="19.42578125" style="10" customWidth="1"/>
    <col min="12" max="12" width="16.28515625" style="10" customWidth="1"/>
    <col min="13" max="13" width="12.28515625" style="10" customWidth="1"/>
    <col min="14" max="14" width="15.140625" style="10" bestFit="1" customWidth="1"/>
    <col min="15" max="15" width="17.140625" style="10" customWidth="1"/>
    <col min="16" max="16" width="8.28515625" style="10" bestFit="1" customWidth="1"/>
    <col min="17" max="21" width="23" style="10" customWidth="1"/>
    <col min="22" max="26" width="9.140625" style="10"/>
  </cols>
  <sheetData>
    <row r="1" spans="1:26" ht="18.75" x14ac:dyDescent="0.3">
      <c r="A1" s="30"/>
      <c r="B1" s="30"/>
      <c r="C1" s="71" t="s">
        <v>9</v>
      </c>
      <c r="D1" s="71"/>
      <c r="E1" s="71"/>
      <c r="F1" s="71"/>
      <c r="G1" s="71"/>
      <c r="H1" s="71"/>
      <c r="I1" s="71"/>
      <c r="J1" s="71"/>
      <c r="K1" s="72"/>
      <c r="L1" s="70" t="s">
        <v>7</v>
      </c>
      <c r="M1" s="70"/>
      <c r="N1" s="70"/>
      <c r="O1" s="70"/>
      <c r="Z1"/>
    </row>
    <row r="2" spans="1:26" ht="45" x14ac:dyDescent="0.25">
      <c r="A2" s="30"/>
      <c r="B2" s="30"/>
      <c r="C2" s="28"/>
      <c r="D2" s="67" t="s">
        <v>103</v>
      </c>
      <c r="E2" s="68"/>
      <c r="F2" s="68"/>
      <c r="G2" s="68"/>
      <c r="H2" s="69"/>
      <c r="I2" s="27" t="s">
        <v>97</v>
      </c>
      <c r="J2" s="27" t="s">
        <v>93</v>
      </c>
      <c r="K2" s="29" t="s">
        <v>105</v>
      </c>
      <c r="L2" s="26"/>
      <c r="M2" s="31"/>
      <c r="N2" s="31"/>
      <c r="O2" s="31"/>
      <c r="Z2"/>
    </row>
    <row r="3" spans="1:26" ht="57" x14ac:dyDescent="0.25">
      <c r="A3" s="48" t="s">
        <v>32</v>
      </c>
      <c r="B3" s="48" t="s">
        <v>6</v>
      </c>
      <c r="C3" s="49" t="s">
        <v>99</v>
      </c>
      <c r="D3" s="50" t="s">
        <v>94</v>
      </c>
      <c r="E3" s="49" t="s">
        <v>95</v>
      </c>
      <c r="F3" s="49" t="s">
        <v>96</v>
      </c>
      <c r="G3" s="49" t="s">
        <v>159</v>
      </c>
      <c r="H3" s="51" t="s">
        <v>160</v>
      </c>
      <c r="I3" s="52" t="s">
        <v>161</v>
      </c>
      <c r="J3" s="52" t="s">
        <v>162</v>
      </c>
      <c r="K3" s="51" t="s">
        <v>98</v>
      </c>
      <c r="L3" s="51" t="s">
        <v>102</v>
      </c>
      <c r="M3" s="53" t="s">
        <v>181</v>
      </c>
      <c r="N3" s="53" t="s">
        <v>182</v>
      </c>
      <c r="O3" s="53" t="s">
        <v>8</v>
      </c>
      <c r="Z3"/>
    </row>
    <row r="4" spans="1:26" x14ac:dyDescent="0.25">
      <c r="A4" s="48">
        <v>0</v>
      </c>
      <c r="B4" s="48">
        <v>2019</v>
      </c>
      <c r="C4" s="54">
        <f t="shared" ref="C4:C24" si="0">SUM($D4:$K4)/((1.07)^$A4)</f>
        <v>0</v>
      </c>
      <c r="D4" s="55">
        <f>'calcs-BikePedUserBenefit'!E10</f>
        <v>0</v>
      </c>
      <c r="E4" s="56">
        <f>'calcs-PropertyValuesRoute200'!C19+'calcs-PropertyValuesWaterfront'!C17</f>
        <v>0</v>
      </c>
      <c r="F4" s="56">
        <f>'calculations-BikePedHealthBenef'!C16</f>
        <v>0</v>
      </c>
      <c r="G4" s="56"/>
      <c r="H4" s="57"/>
      <c r="I4" s="58"/>
      <c r="J4" s="58"/>
      <c r="K4" s="57">
        <f>'calculations-GHG'!K18</f>
        <v>0</v>
      </c>
      <c r="L4" s="54">
        <f t="shared" ref="L4:L24" si="1">SUM($M4:$O4)/((1.07)^$A4)</f>
        <v>0</v>
      </c>
      <c r="M4" s="59">
        <f>'calcs-constr,design,maintenance'!C17</f>
        <v>0</v>
      </c>
      <c r="N4" s="59">
        <f>'calcs-constr,design,maintenance'!E17</f>
        <v>0</v>
      </c>
      <c r="O4" s="59">
        <f>'calcs-constr,design,maintenance'!G17</f>
        <v>0</v>
      </c>
      <c r="Z4"/>
    </row>
    <row r="5" spans="1:26" x14ac:dyDescent="0.25">
      <c r="A5" s="48">
        <f>A4+1</f>
        <v>1</v>
      </c>
      <c r="B5" s="48">
        <f>B4+1</f>
        <v>2020</v>
      </c>
      <c r="C5" s="54">
        <f t="shared" si="0"/>
        <v>0</v>
      </c>
      <c r="D5" s="55">
        <f>'calcs-BikePedUserBenefit'!E11</f>
        <v>0</v>
      </c>
      <c r="E5" s="56">
        <f>'calcs-PropertyValuesRoute200'!C20+'calcs-PropertyValuesWaterfront'!C18</f>
        <v>0</v>
      </c>
      <c r="F5" s="56">
        <f>'calculations-BikePedHealthBenef'!C17</f>
        <v>0</v>
      </c>
      <c r="G5" s="56"/>
      <c r="H5" s="57"/>
      <c r="I5" s="58"/>
      <c r="J5" s="58"/>
      <c r="K5" s="57">
        <f>'calculations-GHG'!K19</f>
        <v>0</v>
      </c>
      <c r="L5" s="54">
        <f t="shared" si="1"/>
        <v>875398.2710280373</v>
      </c>
      <c r="M5" s="59">
        <f>'calcs-constr,design,maintenance'!C18</f>
        <v>936676.15</v>
      </c>
      <c r="N5" s="59">
        <f>'calcs-constr,design,maintenance'!E18</f>
        <v>0</v>
      </c>
      <c r="O5" s="59">
        <f>'calcs-constr,design,maintenance'!G18</f>
        <v>0</v>
      </c>
      <c r="Z5"/>
    </row>
    <row r="6" spans="1:26" x14ac:dyDescent="0.25">
      <c r="A6" s="48">
        <f t="shared" ref="A6:B21" si="2">A5+1</f>
        <v>2</v>
      </c>
      <c r="B6" s="48">
        <f>B5+1</f>
        <v>2021</v>
      </c>
      <c r="C6" s="54">
        <f t="shared" si="0"/>
        <v>2300660.4794733785</v>
      </c>
      <c r="D6" s="55">
        <f>'calcs-BikePedUserBenefit'!E12</f>
        <v>41398.465422562505</v>
      </c>
      <c r="E6" s="56">
        <f>'calcs-PropertyValuesRoute200'!C21+'calcs-PropertyValuesWaterfront'!C19</f>
        <v>1322603.8945078726</v>
      </c>
      <c r="F6" s="56">
        <f>'calculations-BikePedHealthBenef'!C18</f>
        <v>1270000</v>
      </c>
      <c r="G6" s="56"/>
      <c r="H6" s="57"/>
      <c r="I6" s="58"/>
      <c r="J6" s="58"/>
      <c r="K6" s="57">
        <f>'calculations-GHG'!K20</f>
        <v>23.823018635997972</v>
      </c>
      <c r="L6" s="54">
        <f t="shared" si="1"/>
        <v>7516564.861559961</v>
      </c>
      <c r="M6" s="59">
        <f>'calcs-constr,design,maintenance'!C19</f>
        <v>0</v>
      </c>
      <c r="N6" s="59">
        <f>'calcs-constr,design,maintenance'!E19</f>
        <v>8605715.1099999994</v>
      </c>
      <c r="O6" s="59">
        <f>'calcs-constr,design,maintenance'!G19</f>
        <v>0</v>
      </c>
      <c r="Z6"/>
    </row>
    <row r="7" spans="1:26" x14ac:dyDescent="0.25">
      <c r="A7" s="48">
        <f t="shared" si="2"/>
        <v>3</v>
      </c>
      <c r="B7" s="48">
        <f>B6+1</f>
        <v>2022</v>
      </c>
      <c r="C7" s="54">
        <f t="shared" si="0"/>
        <v>2150150.6872510319</v>
      </c>
      <c r="D7" s="55">
        <f>'calcs-BikePedUserBenefit'!E13</f>
        <v>41398.465422562505</v>
      </c>
      <c r="E7" s="56">
        <f>'calcs-PropertyValuesRoute200'!C22+'calcs-PropertyValuesWaterfront'!C20</f>
        <v>1322603.8945078726</v>
      </c>
      <c r="F7" s="56">
        <f>'calculations-BikePedHealthBenef'!C19</f>
        <v>1270000</v>
      </c>
      <c r="G7" s="56"/>
      <c r="H7" s="57"/>
      <c r="I7" s="58"/>
      <c r="J7" s="58"/>
      <c r="K7" s="57">
        <f>'calculations-GHG'!K21</f>
        <v>24.688431630888555</v>
      </c>
      <c r="L7" s="54">
        <f t="shared" si="1"/>
        <v>12652.617091808204</v>
      </c>
      <c r="M7" s="59">
        <f>'calcs-constr,design,maintenance'!C20</f>
        <v>0</v>
      </c>
      <c r="N7" s="59">
        <f>'calcs-constr,design,maintenance'!E20</f>
        <v>0</v>
      </c>
      <c r="O7" s="59">
        <f>'calcs-constr,design,maintenance'!G20</f>
        <v>15500</v>
      </c>
      <c r="Z7"/>
    </row>
    <row r="8" spans="1:26" x14ac:dyDescent="0.25">
      <c r="A8" s="48">
        <f t="shared" si="2"/>
        <v>4</v>
      </c>
      <c r="B8" s="48">
        <f t="shared" si="2"/>
        <v>2023</v>
      </c>
      <c r="C8" s="54">
        <f t="shared" si="0"/>
        <v>2009487.3078021558</v>
      </c>
      <c r="D8" s="55">
        <f>'calcs-BikePedUserBenefit'!E14</f>
        <v>41398.465422562505</v>
      </c>
      <c r="E8" s="56">
        <f>'calcs-PropertyValuesRoute200'!C23+'calcs-PropertyValuesWaterfront'!C21</f>
        <v>1322603.8945078726</v>
      </c>
      <c r="F8" s="56">
        <f>'calculations-BikePedHealthBenef'!C20</f>
        <v>1270000</v>
      </c>
      <c r="G8" s="56"/>
      <c r="H8" s="57"/>
      <c r="I8" s="58"/>
      <c r="J8" s="58"/>
      <c r="K8" s="57">
        <f>'calculations-GHG'!K22</f>
        <v>25.585282272836746</v>
      </c>
      <c r="L8" s="54">
        <f t="shared" si="1"/>
        <v>11824.87578673664</v>
      </c>
      <c r="M8" s="59">
        <f>'calcs-constr,design,maintenance'!C21</f>
        <v>0</v>
      </c>
      <c r="N8" s="59">
        <f>'calcs-constr,design,maintenance'!E21</f>
        <v>0</v>
      </c>
      <c r="O8" s="59">
        <f>'calcs-constr,design,maintenance'!G21</f>
        <v>15500</v>
      </c>
      <c r="Z8"/>
    </row>
    <row r="9" spans="1:26" x14ac:dyDescent="0.25">
      <c r="A9" s="48">
        <f t="shared" si="2"/>
        <v>5</v>
      </c>
      <c r="B9" s="48">
        <f t="shared" si="2"/>
        <v>2024</v>
      </c>
      <c r="C9" s="54">
        <f t="shared" si="0"/>
        <v>935027.88626600779</v>
      </c>
      <c r="D9" s="55">
        <f>'calcs-BikePedUserBenefit'!E15</f>
        <v>41398.465422562505</v>
      </c>
      <c r="E9" s="56">
        <f>'calcs-PropertyValuesRoute200'!C24+'calcs-PropertyValuesWaterfront'!C22</f>
        <v>0</v>
      </c>
      <c r="F9" s="56">
        <f>'calculations-BikePedHealthBenef'!C21</f>
        <v>1270000</v>
      </c>
      <c r="G9" s="56"/>
      <c r="H9" s="57"/>
      <c r="I9" s="58"/>
      <c r="J9" s="58"/>
      <c r="K9" s="57">
        <f>'calculations-GHG'!K23</f>
        <v>26.514712589589259</v>
      </c>
      <c r="L9" s="54">
        <f t="shared" si="1"/>
        <v>11051.285781996859</v>
      </c>
      <c r="M9" s="59">
        <f>'calcs-constr,design,maintenance'!C22</f>
        <v>0</v>
      </c>
      <c r="N9" s="59">
        <f>'calcs-constr,design,maintenance'!E22</f>
        <v>0</v>
      </c>
      <c r="O9" s="59">
        <f>'calcs-constr,design,maintenance'!G22</f>
        <v>15500</v>
      </c>
      <c r="Z9"/>
    </row>
    <row r="10" spans="1:26" x14ac:dyDescent="0.25">
      <c r="A10" s="48">
        <f t="shared" si="2"/>
        <v>6</v>
      </c>
      <c r="B10" s="48">
        <f t="shared" si="2"/>
        <v>2025</v>
      </c>
      <c r="C10" s="54">
        <f t="shared" si="0"/>
        <v>873858.5403628489</v>
      </c>
      <c r="D10" s="55">
        <f>'calcs-BikePedUserBenefit'!E16</f>
        <v>41398.465422562505</v>
      </c>
      <c r="E10" s="56">
        <f>'calcs-PropertyValuesRoute200'!C25+'calcs-PropertyValuesWaterfront'!C23</f>
        <v>9.141633430912198E-2</v>
      </c>
      <c r="F10" s="56">
        <f>'calculations-BikePedHealthBenef'!C22</f>
        <v>1270000</v>
      </c>
      <c r="G10" s="56"/>
      <c r="H10" s="57"/>
      <c r="I10" s="58"/>
      <c r="J10" s="58"/>
      <c r="K10" s="57">
        <f>'calculations-GHG'!K24</f>
        <v>27.477906095056543</v>
      </c>
      <c r="L10" s="54">
        <f t="shared" si="1"/>
        <v>10328.304469155944</v>
      </c>
      <c r="M10" s="59">
        <f>'calcs-constr,design,maintenance'!C23</f>
        <v>0</v>
      </c>
      <c r="N10" s="59">
        <f>'calcs-constr,design,maintenance'!E23</f>
        <v>0</v>
      </c>
      <c r="O10" s="59">
        <f>'calcs-constr,design,maintenance'!G23</f>
        <v>15500</v>
      </c>
      <c r="Z10"/>
    </row>
    <row r="11" spans="1:26" x14ac:dyDescent="0.25">
      <c r="A11" s="48">
        <f t="shared" si="2"/>
        <v>7</v>
      </c>
      <c r="B11" s="48">
        <f t="shared" si="2"/>
        <v>2026</v>
      </c>
      <c r="C11" s="54">
        <f t="shared" si="0"/>
        <v>816690.84625650744</v>
      </c>
      <c r="D11" s="55">
        <f>'calcs-BikePedUserBenefit'!E17</f>
        <v>41398.465422562505</v>
      </c>
      <c r="E11" s="56">
        <f>'calcs-PropertyValuesRoute200'!C26+'calcs-PropertyValuesWaterfront'!C24</f>
        <v>9.141633430912198E-2</v>
      </c>
      <c r="F11" s="56">
        <f>'calculations-BikePedHealthBenef'!C23</f>
        <v>1270000</v>
      </c>
      <c r="G11" s="56"/>
      <c r="H11" s="57"/>
      <c r="I11" s="58"/>
      <c r="J11" s="58"/>
      <c r="K11" s="57">
        <f>'calculations-GHG'!K25</f>
        <v>28.47608929637061</v>
      </c>
      <c r="L11" s="54">
        <f t="shared" si="1"/>
        <v>79400.592090285369</v>
      </c>
      <c r="M11" s="59">
        <f>'calcs-constr,design,maintenance'!C24</f>
        <v>0</v>
      </c>
      <c r="N11" s="59">
        <f>'calcs-constr,design,maintenance'!E24</f>
        <v>0</v>
      </c>
      <c r="O11" s="59">
        <f>'calcs-constr,design,maintenance'!G24</f>
        <v>127500</v>
      </c>
      <c r="Z11"/>
    </row>
    <row r="12" spans="1:26" x14ac:dyDescent="0.25">
      <c r="A12" s="48">
        <f t="shared" si="2"/>
        <v>8</v>
      </c>
      <c r="B12" s="48">
        <f t="shared" si="2"/>
        <v>2027</v>
      </c>
      <c r="C12" s="54">
        <f t="shared" si="0"/>
        <v>763263.0751927254</v>
      </c>
      <c r="D12" s="55">
        <f>'calcs-BikePedUserBenefit'!E18</f>
        <v>41398.465422562505</v>
      </c>
      <c r="E12" s="56">
        <f>'calcs-PropertyValuesRoute200'!C27+'calcs-PropertyValuesWaterfront'!C25</f>
        <v>9.141633430912198E-2</v>
      </c>
      <c r="F12" s="56">
        <f>'calculations-BikePedHealthBenef'!C24</f>
        <v>1270000</v>
      </c>
      <c r="G12" s="56"/>
      <c r="H12" s="57"/>
      <c r="I12" s="58"/>
      <c r="J12" s="58"/>
      <c r="K12" s="57">
        <f>'calculations-GHG'!K26</f>
        <v>29.510533255689253</v>
      </c>
      <c r="L12" s="54">
        <f t="shared" si="1"/>
        <v>9021.141120758095</v>
      </c>
      <c r="M12" s="59">
        <f>'calcs-constr,design,maintenance'!C25</f>
        <v>0</v>
      </c>
      <c r="N12" s="59">
        <f>'calcs-constr,design,maintenance'!E25</f>
        <v>0</v>
      </c>
      <c r="O12" s="59">
        <f>'calcs-constr,design,maintenance'!G25</f>
        <v>15500</v>
      </c>
      <c r="Z12"/>
    </row>
    <row r="13" spans="1:26" x14ac:dyDescent="0.25">
      <c r="A13" s="48">
        <f t="shared" si="2"/>
        <v>9</v>
      </c>
      <c r="B13" s="48">
        <f t="shared" si="2"/>
        <v>2028</v>
      </c>
      <c r="C13" s="54">
        <f t="shared" si="0"/>
        <v>713330.55992454418</v>
      </c>
      <c r="D13" s="55">
        <f>'calcs-BikePedUserBenefit'!E19</f>
        <v>41398.465422562505</v>
      </c>
      <c r="E13" s="56">
        <f>'calcs-PropertyValuesRoute200'!C28+'calcs-PropertyValuesWaterfront'!C26</f>
        <v>9.141633430912198E-2</v>
      </c>
      <c r="F13" s="56">
        <f>'calculations-BikePedHealthBenef'!C25</f>
        <v>1270000</v>
      </c>
      <c r="G13" s="56"/>
      <c r="H13" s="57"/>
      <c r="I13" s="58"/>
      <c r="J13" s="58"/>
      <c r="K13" s="57">
        <f>'calculations-GHG'!K27</f>
        <v>30.58255520873568</v>
      </c>
      <c r="L13" s="54">
        <f t="shared" si="1"/>
        <v>8430.9730100542947</v>
      </c>
      <c r="M13" s="59">
        <f>'calcs-constr,design,maintenance'!C26</f>
        <v>0</v>
      </c>
      <c r="N13" s="59">
        <f>'calcs-constr,design,maintenance'!E26</f>
        <v>0</v>
      </c>
      <c r="O13" s="59">
        <f>'calcs-constr,design,maintenance'!G26</f>
        <v>15500</v>
      </c>
      <c r="Z13"/>
    </row>
    <row r="14" spans="1:26" x14ac:dyDescent="0.25">
      <c r="A14" s="48">
        <f t="shared" si="2"/>
        <v>10</v>
      </c>
      <c r="B14" s="48">
        <f t="shared" si="2"/>
        <v>2029</v>
      </c>
      <c r="C14" s="54">
        <f t="shared" si="0"/>
        <v>666664.63945412403</v>
      </c>
      <c r="D14" s="55">
        <f>'calcs-BikePedUserBenefit'!E20</f>
        <v>41398.465422562505</v>
      </c>
      <c r="E14" s="56">
        <f>'calcs-PropertyValuesRoute200'!C29+'calcs-PropertyValuesWaterfront'!C27</f>
        <v>9.141633430912198E-2</v>
      </c>
      <c r="F14" s="56">
        <f>'calculations-BikePedHealthBenef'!C26</f>
        <v>1270000</v>
      </c>
      <c r="G14" s="56"/>
      <c r="H14" s="57"/>
      <c r="I14" s="58"/>
      <c r="J14" s="58"/>
      <c r="K14" s="57">
        <f>'calculations-GHG'!K28</f>
        <v>31.693520242134348</v>
      </c>
      <c r="L14" s="54">
        <f t="shared" si="1"/>
        <v>7879.4140280881256</v>
      </c>
      <c r="M14" s="59">
        <f>'calcs-constr,design,maintenance'!C27</f>
        <v>0</v>
      </c>
      <c r="N14" s="59">
        <f>'calcs-constr,design,maintenance'!E27</f>
        <v>0</v>
      </c>
      <c r="O14" s="59">
        <f>'calcs-constr,design,maintenance'!G27</f>
        <v>15500</v>
      </c>
      <c r="Z14"/>
    </row>
    <row r="15" spans="1:26" x14ac:dyDescent="0.25">
      <c r="A15" s="48">
        <f t="shared" si="2"/>
        <v>11</v>
      </c>
      <c r="B15" s="48">
        <f t="shared" si="2"/>
        <v>2030</v>
      </c>
      <c r="C15" s="54">
        <f t="shared" si="0"/>
        <v>623051.61189555982</v>
      </c>
      <c r="D15" s="55">
        <f>'calcs-BikePedUserBenefit'!E21</f>
        <v>41398.465422562505</v>
      </c>
      <c r="E15" s="56">
        <f>'calcs-PropertyValuesRoute200'!C30+'calcs-PropertyValuesWaterfront'!C28</f>
        <v>9.141633430912198E-2</v>
      </c>
      <c r="F15" s="56">
        <f>'calculations-BikePedHealthBenef'!C27</f>
        <v>1270000</v>
      </c>
      <c r="G15" s="56"/>
      <c r="H15" s="57"/>
      <c r="I15" s="58"/>
      <c r="J15" s="58"/>
      <c r="K15" s="57">
        <f>'calculations-GHG'!K29</f>
        <v>32.844843031678963</v>
      </c>
      <c r="L15" s="54">
        <f t="shared" si="1"/>
        <v>7363.9383440075935</v>
      </c>
      <c r="M15" s="59">
        <f>'calcs-constr,design,maintenance'!C28</f>
        <v>0</v>
      </c>
      <c r="N15" s="59">
        <f>'calcs-constr,design,maintenance'!E28</f>
        <v>0</v>
      </c>
      <c r="O15" s="59">
        <f>'calcs-constr,design,maintenance'!G28</f>
        <v>15500</v>
      </c>
      <c r="Z15"/>
    </row>
    <row r="16" spans="1:26" x14ac:dyDescent="0.25">
      <c r="A16" s="48">
        <f t="shared" si="2"/>
        <v>12</v>
      </c>
      <c r="B16" s="48">
        <f t="shared" si="2"/>
        <v>2031</v>
      </c>
      <c r="C16" s="54">
        <f t="shared" si="0"/>
        <v>582291.75584198162</v>
      </c>
      <c r="D16" s="55">
        <f>'calcs-BikePedUserBenefit'!E22</f>
        <v>41398.465422562505</v>
      </c>
      <c r="E16" s="56">
        <f>'calcs-PropertyValuesRoute200'!C31+'calcs-PropertyValuesWaterfront'!C29</f>
        <v>9.141633430912198E-2</v>
      </c>
      <c r="F16" s="56">
        <f>'calculations-BikePedHealthBenef'!C28</f>
        <v>1270000</v>
      </c>
      <c r="G16" s="56"/>
      <c r="H16" s="57"/>
      <c r="I16" s="58"/>
      <c r="J16" s="58"/>
      <c r="K16" s="57">
        <f>'calculations-GHG'!K30</f>
        <v>34.037989643746243</v>
      </c>
      <c r="L16" s="54">
        <f t="shared" si="1"/>
        <v>15762.424553046103</v>
      </c>
      <c r="M16" s="59">
        <f>'calcs-constr,design,maintenance'!C29</f>
        <v>0</v>
      </c>
      <c r="N16" s="59">
        <f>'calcs-constr,design,maintenance'!E29</f>
        <v>0</v>
      </c>
      <c r="O16" s="59">
        <f>'calcs-constr,design,maintenance'!G29</f>
        <v>35500</v>
      </c>
      <c r="Z16"/>
    </row>
    <row r="17" spans="1:26" x14ac:dyDescent="0.25">
      <c r="A17" s="48">
        <f t="shared" si="2"/>
        <v>13</v>
      </c>
      <c r="B17" s="48">
        <f t="shared" si="2"/>
        <v>2032</v>
      </c>
      <c r="C17" s="54">
        <f t="shared" si="0"/>
        <v>544198.41575534758</v>
      </c>
      <c r="D17" s="55">
        <f>'calcs-BikePedUserBenefit'!E23</f>
        <v>41398.465422562505</v>
      </c>
      <c r="E17" s="56">
        <f>'calcs-PropertyValuesRoute200'!C32+'calcs-PropertyValuesWaterfront'!C30</f>
        <v>9.141633430912198E-2</v>
      </c>
      <c r="F17" s="56">
        <f>'calculations-BikePedHealthBenef'!C29</f>
        <v>1270000</v>
      </c>
      <c r="G17" s="56"/>
      <c r="H17" s="57"/>
      <c r="I17" s="58"/>
      <c r="J17" s="58"/>
      <c r="K17" s="57">
        <f>'calculations-GHG'!K31</f>
        <v>35.274479402148962</v>
      </c>
      <c r="L17" s="54">
        <f t="shared" si="1"/>
        <v>6431.9489422723327</v>
      </c>
      <c r="M17" s="59">
        <f>'calcs-constr,design,maintenance'!C30</f>
        <v>0</v>
      </c>
      <c r="N17" s="59">
        <f>'calcs-constr,design,maintenance'!E30</f>
        <v>0</v>
      </c>
      <c r="O17" s="59">
        <f>'calcs-constr,design,maintenance'!G30</f>
        <v>15500</v>
      </c>
      <c r="Z17"/>
    </row>
    <row r="18" spans="1:26" x14ac:dyDescent="0.25">
      <c r="A18" s="48">
        <f t="shared" si="2"/>
        <v>14</v>
      </c>
      <c r="B18" s="48">
        <f t="shared" si="2"/>
        <v>2033</v>
      </c>
      <c r="C18" s="54">
        <f t="shared" si="0"/>
        <v>508597.14719053305</v>
      </c>
      <c r="D18" s="55">
        <f>'calcs-BikePedUserBenefit'!E24</f>
        <v>41398.465422562505</v>
      </c>
      <c r="E18" s="56">
        <f>'calcs-PropertyValuesRoute200'!C33+'calcs-PropertyValuesWaterfront'!C31</f>
        <v>9.141633430912198E-2</v>
      </c>
      <c r="F18" s="56">
        <f>'calculations-BikePedHealthBenef'!C30</f>
        <v>1270000</v>
      </c>
      <c r="G18" s="56"/>
      <c r="H18" s="57"/>
      <c r="I18" s="58"/>
      <c r="J18" s="58"/>
      <c r="K18" s="57">
        <f>'calculations-GHG'!K32</f>
        <v>36.555886822806052</v>
      </c>
      <c r="L18" s="54">
        <f t="shared" si="1"/>
        <v>6011.1672357685356</v>
      </c>
      <c r="M18" s="59">
        <f>'calcs-constr,design,maintenance'!C31</f>
        <v>0</v>
      </c>
      <c r="N18" s="59">
        <f>'calcs-constr,design,maintenance'!E31</f>
        <v>0</v>
      </c>
      <c r="O18" s="59">
        <f>'calcs-constr,design,maintenance'!G31</f>
        <v>15500</v>
      </c>
      <c r="Z18"/>
    </row>
    <row r="19" spans="1:26" x14ac:dyDescent="0.25">
      <c r="A19" s="48">
        <f t="shared" si="2"/>
        <v>15</v>
      </c>
      <c r="B19" s="48">
        <f t="shared" si="2"/>
        <v>2034</v>
      </c>
      <c r="C19" s="54">
        <f t="shared" si="0"/>
        <v>475324.91793932125</v>
      </c>
      <c r="D19" s="55">
        <f>'calcs-BikePedUserBenefit'!E25</f>
        <v>41398.465422562505</v>
      </c>
      <c r="E19" s="56">
        <f>'calcs-PropertyValuesRoute200'!C34+'calcs-PropertyValuesWaterfront'!C32</f>
        <v>9.141633430912198E-2</v>
      </c>
      <c r="F19" s="56">
        <f>'calculations-BikePedHealthBenef'!C31</f>
        <v>1270000</v>
      </c>
      <c r="G19" s="56"/>
      <c r="H19" s="57"/>
      <c r="I19" s="58"/>
      <c r="J19" s="58"/>
      <c r="K19" s="57">
        <f>'calculations-GHG'!K33</f>
        <v>37.883843618692616</v>
      </c>
      <c r="L19" s="54">
        <f t="shared" si="1"/>
        <v>5617.9133044565751</v>
      </c>
      <c r="M19" s="59">
        <f>'calcs-constr,design,maintenance'!C32</f>
        <v>0</v>
      </c>
      <c r="N19" s="59">
        <f>'calcs-constr,design,maintenance'!E32</f>
        <v>0</v>
      </c>
      <c r="O19" s="59">
        <f>'calcs-constr,design,maintenance'!G32</f>
        <v>15500</v>
      </c>
      <c r="Z19"/>
    </row>
    <row r="20" spans="1:26" x14ac:dyDescent="0.25">
      <c r="A20" s="48">
        <f t="shared" si="2"/>
        <v>16</v>
      </c>
      <c r="B20" s="48">
        <f t="shared" si="2"/>
        <v>2035</v>
      </c>
      <c r="C20" s="54">
        <f t="shared" si="0"/>
        <v>444229.3614359849</v>
      </c>
      <c r="D20" s="55">
        <f>'calcs-BikePedUserBenefit'!E26</f>
        <v>41398.465422562505</v>
      </c>
      <c r="E20" s="56">
        <f>'calcs-PropertyValuesRoute200'!C35+'calcs-PropertyValuesWaterfront'!C33</f>
        <v>9.141633430912198E-2</v>
      </c>
      <c r="F20" s="56">
        <f>'calculations-BikePedHealthBenef'!C32</f>
        <v>1270000</v>
      </c>
      <c r="G20" s="56"/>
      <c r="H20" s="57"/>
      <c r="I20" s="58"/>
      <c r="J20" s="58"/>
      <c r="K20" s="57">
        <f>'calculations-GHG'!K34</f>
        <v>39.260040777623544</v>
      </c>
      <c r="L20" s="54">
        <f t="shared" si="1"/>
        <v>5250.3862658472672</v>
      </c>
      <c r="M20" s="59">
        <f>'calcs-constr,design,maintenance'!C33</f>
        <v>0</v>
      </c>
      <c r="N20" s="59">
        <f>'calcs-constr,design,maintenance'!E33</f>
        <v>0</v>
      </c>
      <c r="O20" s="59">
        <f>'calcs-constr,design,maintenance'!G33</f>
        <v>15500</v>
      </c>
      <c r="Z20"/>
    </row>
    <row r="21" spans="1:26" x14ac:dyDescent="0.25">
      <c r="A21" s="48">
        <f t="shared" si="2"/>
        <v>17</v>
      </c>
      <c r="B21" s="48">
        <f t="shared" si="2"/>
        <v>2036</v>
      </c>
      <c r="C21" s="54">
        <f t="shared" si="0"/>
        <v>415168.07900547655</v>
      </c>
      <c r="D21" s="55">
        <f>'calcs-BikePedUserBenefit'!E27</f>
        <v>41398.465422562505</v>
      </c>
      <c r="E21" s="56">
        <f>'calcs-PropertyValuesRoute200'!C36+'calcs-PropertyValuesWaterfront'!C34</f>
        <v>9.141633430912198E-2</v>
      </c>
      <c r="F21" s="56">
        <f>'calculations-BikePedHealthBenef'!C33</f>
        <v>1270000</v>
      </c>
      <c r="G21" s="56"/>
      <c r="H21" s="57"/>
      <c r="I21" s="58"/>
      <c r="J21" s="58"/>
      <c r="K21" s="57">
        <f>'calculations-GHG'!K35</f>
        <v>40.686230715516196</v>
      </c>
      <c r="L21" s="54">
        <f t="shared" si="1"/>
        <v>40363.234784174048</v>
      </c>
      <c r="M21" s="59">
        <f>'calcs-constr,design,maintenance'!C34</f>
        <v>0</v>
      </c>
      <c r="N21" s="59">
        <f>'calcs-constr,design,maintenance'!E34</f>
        <v>0</v>
      </c>
      <c r="O21" s="59">
        <f>'calcs-constr,design,maintenance'!G34</f>
        <v>127500</v>
      </c>
      <c r="Z21"/>
    </row>
    <row r="22" spans="1:26" x14ac:dyDescent="0.25">
      <c r="A22" s="48">
        <f t="shared" ref="A22:B24" si="3">A21+1</f>
        <v>18</v>
      </c>
      <c r="B22" s="48">
        <f t="shared" si="3"/>
        <v>2037</v>
      </c>
      <c r="C22" s="54">
        <f t="shared" si="0"/>
        <v>388020.46263298986</v>
      </c>
      <c r="D22" s="55">
        <f>'calcs-BikePedUserBenefit'!E28</f>
        <v>41398.465422562505</v>
      </c>
      <c r="E22" s="56">
        <f>'calcs-PropertyValuesRoute200'!C37+'calcs-PropertyValuesWaterfront'!C35</f>
        <v>9.141633430912198E-2</v>
      </c>
      <c r="F22" s="56">
        <f>'calculations-BikePedHealthBenef'!C34</f>
        <v>1270000</v>
      </c>
      <c r="G22" s="56"/>
      <c r="H22" s="57"/>
      <c r="I22" s="58"/>
      <c r="J22" s="58"/>
      <c r="K22" s="57">
        <f>'calculations-GHG'!K36</f>
        <v>84.328459015748123</v>
      </c>
      <c r="L22" s="54">
        <f t="shared" si="1"/>
        <v>4585.8907029847733</v>
      </c>
      <c r="M22" s="59">
        <f>'calcs-constr,design,maintenance'!C35</f>
        <v>0</v>
      </c>
      <c r="N22" s="59">
        <f>'calcs-constr,design,maintenance'!E35</f>
        <v>0</v>
      </c>
      <c r="O22" s="59">
        <f>'calcs-constr,design,maintenance'!G35</f>
        <v>15500</v>
      </c>
      <c r="Z22"/>
    </row>
    <row r="23" spans="1:26" x14ac:dyDescent="0.25">
      <c r="A23" s="48">
        <f t="shared" si="3"/>
        <v>19</v>
      </c>
      <c r="B23" s="48">
        <f t="shared" si="3"/>
        <v>2038</v>
      </c>
      <c r="C23" s="54">
        <f t="shared" si="0"/>
        <v>362636.79343590001</v>
      </c>
      <c r="D23" s="55">
        <f>'calcs-BikePedUserBenefit'!E29</f>
        <v>41398.465422562505</v>
      </c>
      <c r="E23" s="56">
        <f>'calcs-PropertyValuesRoute200'!C38+'calcs-PropertyValuesWaterfront'!C36</f>
        <v>9.141633430912198E-2</v>
      </c>
      <c r="F23" s="56">
        <f>'calculations-BikePedHealthBenef'!C35</f>
        <v>1270000</v>
      </c>
      <c r="G23" s="56"/>
      <c r="H23" s="57"/>
      <c r="I23" s="58"/>
      <c r="J23" s="58"/>
      <c r="K23" s="57">
        <f>'calculations-GHG'!K37</f>
        <v>87.391838404666146</v>
      </c>
      <c r="L23" s="54">
        <f t="shared" si="1"/>
        <v>4285.8791616680119</v>
      </c>
      <c r="M23" s="59">
        <f>'calcs-constr,design,maintenance'!C36</f>
        <v>0</v>
      </c>
      <c r="N23" s="59">
        <f>'calcs-constr,design,maintenance'!E36</f>
        <v>0</v>
      </c>
      <c r="O23" s="59">
        <f>'calcs-constr,design,maintenance'!G36</f>
        <v>15500</v>
      </c>
      <c r="Z23"/>
    </row>
    <row r="24" spans="1:26" x14ac:dyDescent="0.25">
      <c r="A24" s="48">
        <f t="shared" si="3"/>
        <v>20</v>
      </c>
      <c r="B24" s="48">
        <f t="shared" si="3"/>
        <v>2039</v>
      </c>
      <c r="C24" s="54">
        <f t="shared" si="0"/>
        <v>338913.7114545838</v>
      </c>
      <c r="D24" s="55">
        <f>'calcs-BikePedUserBenefit'!E30</f>
        <v>41398.465422562505</v>
      </c>
      <c r="E24" s="56">
        <f>'calcs-PropertyValuesRoute200'!C39+'calcs-PropertyValuesWaterfront'!C37</f>
        <v>9.141633430912198E-2</v>
      </c>
      <c r="F24" s="56">
        <f>'calculations-BikePedHealthBenef'!C36</f>
        <v>1270000</v>
      </c>
      <c r="G24" s="56"/>
      <c r="H24" s="57"/>
      <c r="I24" s="58"/>
      <c r="J24" s="58"/>
      <c r="K24" s="57">
        <f>'calculations-GHG'!K38</f>
        <v>90.566500430430338</v>
      </c>
      <c r="L24" s="54">
        <f t="shared" si="1"/>
        <v>4005.4945436149646</v>
      </c>
      <c r="M24" s="59">
        <f>'calcs-constr,design,maintenance'!C37</f>
        <v>0</v>
      </c>
      <c r="N24" s="59">
        <f>'calcs-constr,design,maintenance'!E37</f>
        <v>0</v>
      </c>
      <c r="O24" s="59">
        <f>'calcs-constr,design,maintenance'!G37</f>
        <v>15500</v>
      </c>
      <c r="Z24"/>
    </row>
    <row r="25" spans="1:26" s="15" customFormat="1" x14ac:dyDescent="0.25">
      <c r="A25" s="60"/>
      <c r="B25" s="61" t="s">
        <v>10</v>
      </c>
      <c r="C25" s="62">
        <f>SUM(C4:C24)</f>
        <v>15911566.278571002</v>
      </c>
      <c r="D25" s="63"/>
      <c r="E25" s="63"/>
      <c r="F25" s="63"/>
      <c r="G25" s="63"/>
      <c r="H25" s="63"/>
      <c r="I25" s="63"/>
      <c r="J25" s="63"/>
      <c r="K25" s="63"/>
      <c r="L25" s="62">
        <f>SUM(L4:L24)</f>
        <v>8642230.6138047241</v>
      </c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</row>
    <row r="27" spans="1:26" x14ac:dyDescent="0.25">
      <c r="C27" s="39"/>
    </row>
    <row r="28" spans="1:26" x14ac:dyDescent="0.25">
      <c r="C28" s="39"/>
    </row>
    <row r="30" spans="1:26" ht="30.75" thickBot="1" x14ac:dyDescent="0.3">
      <c r="B30" s="32"/>
      <c r="C30" s="33" t="s">
        <v>112</v>
      </c>
      <c r="D30" s="10"/>
      <c r="Z30"/>
    </row>
    <row r="31" spans="1:26" ht="30.75" thickBot="1" x14ac:dyDescent="0.3">
      <c r="B31" s="34" t="s">
        <v>113</v>
      </c>
      <c r="C31" s="35">
        <f>C25</f>
        <v>15911566.278571002</v>
      </c>
      <c r="D31" s="10"/>
      <c r="Z31"/>
    </row>
    <row r="32" spans="1:26" ht="29.25" customHeight="1" thickBot="1" x14ac:dyDescent="0.3">
      <c r="B32" s="36" t="s">
        <v>114</v>
      </c>
      <c r="C32" s="35">
        <f>L25</f>
        <v>8642230.6138047241</v>
      </c>
      <c r="D32" s="10"/>
      <c r="Z32"/>
    </row>
    <row r="33" spans="2:26" ht="45.75" thickBot="1" x14ac:dyDescent="0.3">
      <c r="B33" s="34" t="s">
        <v>115</v>
      </c>
      <c r="C33" s="41">
        <f>C31/C32</f>
        <v>1.8411411346920732</v>
      </c>
      <c r="D33" s="10"/>
      <c r="Z33"/>
    </row>
  </sheetData>
  <mergeCells count="3">
    <mergeCell ref="D2:H2"/>
    <mergeCell ref="L1:O1"/>
    <mergeCell ref="C1:K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2"/>
  <sheetViews>
    <sheetView workbookViewId="0">
      <selection activeCell="A2" sqref="A2:D29"/>
    </sheetView>
  </sheetViews>
  <sheetFormatPr defaultRowHeight="15" x14ac:dyDescent="0.25"/>
  <cols>
    <col min="1" max="1" width="32.7109375" bestFit="1" customWidth="1"/>
    <col min="3" max="3" width="30.85546875" bestFit="1" customWidth="1"/>
    <col min="4" max="4" width="184.85546875" bestFit="1" customWidth="1"/>
  </cols>
  <sheetData>
    <row r="1" spans="1:4" x14ac:dyDescent="0.25">
      <c r="A1" s="24" t="s">
        <v>101</v>
      </c>
      <c r="B1" s="24" t="s">
        <v>0</v>
      </c>
      <c r="C1" s="24" t="s">
        <v>4</v>
      </c>
      <c r="D1" s="24" t="s">
        <v>1</v>
      </c>
    </row>
    <row r="2" spans="1:4" x14ac:dyDescent="0.25">
      <c r="A2" s="13" t="s">
        <v>2</v>
      </c>
      <c r="B2" s="13">
        <v>20</v>
      </c>
      <c r="C2" s="13" t="s">
        <v>100</v>
      </c>
      <c r="D2" s="73" t="s">
        <v>164</v>
      </c>
    </row>
    <row r="3" spans="1:4" x14ac:dyDescent="0.25">
      <c r="A3" s="13" t="s">
        <v>3</v>
      </c>
      <c r="B3" s="13">
        <v>2017</v>
      </c>
      <c r="C3" s="13" t="s">
        <v>5</v>
      </c>
      <c r="D3" s="13"/>
    </row>
    <row r="4" spans="1:4" x14ac:dyDescent="0.25">
      <c r="A4" s="13" t="s">
        <v>11</v>
      </c>
      <c r="B4" s="13">
        <v>7</v>
      </c>
      <c r="C4" s="13" t="s">
        <v>44</v>
      </c>
      <c r="D4" s="13" t="s">
        <v>108</v>
      </c>
    </row>
    <row r="5" spans="1:4" x14ac:dyDescent="0.25">
      <c r="A5" s="13" t="s">
        <v>23</v>
      </c>
      <c r="B5" s="13">
        <v>22</v>
      </c>
      <c r="C5" s="13" t="s">
        <v>24</v>
      </c>
      <c r="D5" s="73" t="s">
        <v>163</v>
      </c>
    </row>
    <row r="6" spans="1:4" x14ac:dyDescent="0.25">
      <c r="A6" s="13" t="s">
        <v>12</v>
      </c>
      <c r="B6" s="13">
        <v>8.9999999999999993E-3</v>
      </c>
      <c r="C6" s="13" t="s">
        <v>13</v>
      </c>
      <c r="D6" s="73" t="s">
        <v>164</v>
      </c>
    </row>
    <row r="7" spans="1:4" x14ac:dyDescent="0.25">
      <c r="A7" s="13" t="s">
        <v>30</v>
      </c>
      <c r="B7" s="65">
        <v>1</v>
      </c>
      <c r="C7" s="13">
        <v>2019</v>
      </c>
      <c r="D7" s="73" t="s">
        <v>164</v>
      </c>
    </row>
    <row r="8" spans="1:4" x14ac:dyDescent="0.25">
      <c r="A8" s="13" t="s">
        <v>30</v>
      </c>
      <c r="B8" s="65">
        <v>1</v>
      </c>
      <c r="C8" s="13">
        <f>C7+1</f>
        <v>2020</v>
      </c>
      <c r="D8" s="73" t="s">
        <v>164</v>
      </c>
    </row>
    <row r="9" spans="1:4" x14ac:dyDescent="0.25">
      <c r="A9" s="13" t="s">
        <v>30</v>
      </c>
      <c r="B9" s="65">
        <v>1</v>
      </c>
      <c r="C9" s="13">
        <f t="shared" ref="C9:C26" si="0">C8+1</f>
        <v>2021</v>
      </c>
      <c r="D9" s="73" t="s">
        <v>164</v>
      </c>
    </row>
    <row r="10" spans="1:4" x14ac:dyDescent="0.25">
      <c r="A10" s="13" t="s">
        <v>30</v>
      </c>
      <c r="B10" s="65">
        <v>1</v>
      </c>
      <c r="C10" s="13">
        <f t="shared" si="0"/>
        <v>2022</v>
      </c>
      <c r="D10" s="73" t="s">
        <v>164</v>
      </c>
    </row>
    <row r="11" spans="1:4" x14ac:dyDescent="0.25">
      <c r="A11" s="13" t="s">
        <v>30</v>
      </c>
      <c r="B11" s="65">
        <v>1</v>
      </c>
      <c r="C11" s="13">
        <f t="shared" si="0"/>
        <v>2023</v>
      </c>
      <c r="D11" s="73" t="s">
        <v>164</v>
      </c>
    </row>
    <row r="12" spans="1:4" x14ac:dyDescent="0.25">
      <c r="A12" s="13" t="s">
        <v>30</v>
      </c>
      <c r="B12" s="65">
        <v>1</v>
      </c>
      <c r="C12" s="13">
        <f t="shared" si="0"/>
        <v>2024</v>
      </c>
      <c r="D12" s="73" t="s">
        <v>164</v>
      </c>
    </row>
    <row r="13" spans="1:4" x14ac:dyDescent="0.25">
      <c r="A13" s="13" t="s">
        <v>30</v>
      </c>
      <c r="B13" s="65">
        <v>1</v>
      </c>
      <c r="C13" s="13">
        <f t="shared" si="0"/>
        <v>2025</v>
      </c>
      <c r="D13" s="73" t="s">
        <v>164</v>
      </c>
    </row>
    <row r="14" spans="1:4" x14ac:dyDescent="0.25">
      <c r="A14" s="13" t="s">
        <v>30</v>
      </c>
      <c r="B14" s="65">
        <v>1</v>
      </c>
      <c r="C14" s="13">
        <f t="shared" si="0"/>
        <v>2026</v>
      </c>
      <c r="D14" s="73" t="s">
        <v>164</v>
      </c>
    </row>
    <row r="15" spans="1:4" x14ac:dyDescent="0.25">
      <c r="A15" s="13" t="s">
        <v>30</v>
      </c>
      <c r="B15" s="65">
        <v>1</v>
      </c>
      <c r="C15" s="13">
        <f t="shared" si="0"/>
        <v>2027</v>
      </c>
      <c r="D15" s="73" t="s">
        <v>164</v>
      </c>
    </row>
    <row r="16" spans="1:4" x14ac:dyDescent="0.25">
      <c r="A16" s="13" t="s">
        <v>30</v>
      </c>
      <c r="B16" s="65">
        <v>1</v>
      </c>
      <c r="C16" s="13">
        <f t="shared" si="0"/>
        <v>2028</v>
      </c>
      <c r="D16" s="73" t="s">
        <v>164</v>
      </c>
    </row>
    <row r="17" spans="1:4" x14ac:dyDescent="0.25">
      <c r="A17" s="13" t="s">
        <v>30</v>
      </c>
      <c r="B17" s="65">
        <v>1</v>
      </c>
      <c r="C17" s="13">
        <f t="shared" si="0"/>
        <v>2029</v>
      </c>
      <c r="D17" s="73" t="s">
        <v>164</v>
      </c>
    </row>
    <row r="18" spans="1:4" x14ac:dyDescent="0.25">
      <c r="A18" s="13" t="s">
        <v>30</v>
      </c>
      <c r="B18" s="65">
        <v>1</v>
      </c>
      <c r="C18" s="13">
        <f t="shared" si="0"/>
        <v>2030</v>
      </c>
      <c r="D18" s="73" t="s">
        <v>164</v>
      </c>
    </row>
    <row r="19" spans="1:4" x14ac:dyDescent="0.25">
      <c r="A19" s="13" t="s">
        <v>30</v>
      </c>
      <c r="B19" s="65">
        <v>1</v>
      </c>
      <c r="C19" s="13">
        <f t="shared" si="0"/>
        <v>2031</v>
      </c>
      <c r="D19" s="73" t="s">
        <v>164</v>
      </c>
    </row>
    <row r="20" spans="1:4" x14ac:dyDescent="0.25">
      <c r="A20" s="13" t="s">
        <v>30</v>
      </c>
      <c r="B20" s="65">
        <v>1</v>
      </c>
      <c r="C20" s="13">
        <f t="shared" si="0"/>
        <v>2032</v>
      </c>
      <c r="D20" s="73" t="s">
        <v>164</v>
      </c>
    </row>
    <row r="21" spans="1:4" x14ac:dyDescent="0.25">
      <c r="A21" s="13" t="s">
        <v>30</v>
      </c>
      <c r="B21" s="65">
        <v>1</v>
      </c>
      <c r="C21" s="13">
        <f t="shared" si="0"/>
        <v>2033</v>
      </c>
      <c r="D21" s="73" t="s">
        <v>164</v>
      </c>
    </row>
    <row r="22" spans="1:4" x14ac:dyDescent="0.25">
      <c r="A22" s="13" t="s">
        <v>30</v>
      </c>
      <c r="B22" s="65">
        <v>1</v>
      </c>
      <c r="C22" s="13">
        <f t="shared" si="0"/>
        <v>2034</v>
      </c>
      <c r="D22" s="73" t="s">
        <v>164</v>
      </c>
    </row>
    <row r="23" spans="1:4" x14ac:dyDescent="0.25">
      <c r="A23" s="13" t="s">
        <v>30</v>
      </c>
      <c r="B23" s="65">
        <v>2</v>
      </c>
      <c r="C23" s="13">
        <f t="shared" si="0"/>
        <v>2035</v>
      </c>
      <c r="D23" s="73" t="s">
        <v>164</v>
      </c>
    </row>
    <row r="24" spans="1:4" x14ac:dyDescent="0.25">
      <c r="A24" s="13" t="s">
        <v>30</v>
      </c>
      <c r="B24" s="65">
        <v>2</v>
      </c>
      <c r="C24" s="13">
        <f t="shared" si="0"/>
        <v>2036</v>
      </c>
      <c r="D24" s="73" t="s">
        <v>164</v>
      </c>
    </row>
    <row r="25" spans="1:4" x14ac:dyDescent="0.25">
      <c r="A25" s="13" t="s">
        <v>30</v>
      </c>
      <c r="B25" s="65">
        <v>2</v>
      </c>
      <c r="C25" s="13">
        <f>C24+1</f>
        <v>2037</v>
      </c>
      <c r="D25" s="73" t="s">
        <v>164</v>
      </c>
    </row>
    <row r="26" spans="1:4" x14ac:dyDescent="0.25">
      <c r="A26" s="13" t="s">
        <v>30</v>
      </c>
      <c r="B26" s="65">
        <v>2</v>
      </c>
      <c r="C26" s="13">
        <f t="shared" si="0"/>
        <v>2038</v>
      </c>
      <c r="D26" s="73" t="s">
        <v>164</v>
      </c>
    </row>
    <row r="27" spans="1:4" x14ac:dyDescent="0.25">
      <c r="A27" s="13" t="s">
        <v>165</v>
      </c>
      <c r="B27" s="74">
        <v>1.0309999999999999</v>
      </c>
      <c r="C27" s="43" t="s">
        <v>117</v>
      </c>
      <c r="D27" s="73" t="s">
        <v>164</v>
      </c>
    </row>
    <row r="28" spans="1:4" x14ac:dyDescent="0.25">
      <c r="A28" s="13" t="s">
        <v>167</v>
      </c>
      <c r="B28" s="74">
        <v>1.018</v>
      </c>
      <c r="C28" s="43" t="s">
        <v>117</v>
      </c>
      <c r="D28" s="73" t="s">
        <v>164</v>
      </c>
    </row>
    <row r="29" spans="1:4" x14ac:dyDescent="0.25">
      <c r="A29" s="13" t="s">
        <v>169</v>
      </c>
      <c r="B29" s="13">
        <f>85364.52/87132</f>
        <v>0.97971491530092281</v>
      </c>
      <c r="C29" s="43" t="s">
        <v>117</v>
      </c>
      <c r="D29" s="73" t="s">
        <v>166</v>
      </c>
    </row>
    <row r="32" spans="1:4" x14ac:dyDescent="0.25">
      <c r="D32" s="38"/>
    </row>
  </sheetData>
  <hyperlinks>
    <hyperlink ref="D5" r:id="rId1" xr:uid="{25AAC92D-3294-4417-AA47-B14366463E15}"/>
    <hyperlink ref="D2" r:id="rId2" xr:uid="{2EA27780-E1E7-4CC8-A39F-E7EA3C95300A}"/>
    <hyperlink ref="D7:D26" r:id="rId3" display="https://www.transportation.gov/sites/dot.gov/files/docs/mission/office-policy/transportation-policy/14091/benefit-cost-analysis-guidance-2018.pdf" xr:uid="{8536E760-5599-4487-AE41-48E86BA7A8BD}"/>
    <hyperlink ref="D6" r:id="rId4" xr:uid="{340D28F7-080A-4EED-896D-3292B7E08BAD}"/>
    <hyperlink ref="D27" r:id="rId5" xr:uid="{DB150ADA-CD7C-4939-9137-4AD20A06F6CC}"/>
    <hyperlink ref="D28" r:id="rId6" xr:uid="{D7CAD152-C859-4F47-9334-6D13D035F590}"/>
    <hyperlink ref="D29" r:id="rId7" xr:uid="{4A688ABF-31AA-4580-9492-49272921D1EE}"/>
  </hyperlinks>
  <pageMargins left="0.7" right="0.7" top="0.75" bottom="0.75" header="0.3" footer="0.3"/>
  <pageSetup orientation="portrait"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J38"/>
  <sheetViews>
    <sheetView zoomScale="85" zoomScaleNormal="85" workbookViewId="0">
      <selection activeCell="J38" sqref="J38"/>
    </sheetView>
  </sheetViews>
  <sheetFormatPr defaultRowHeight="15" x14ac:dyDescent="0.25"/>
  <cols>
    <col min="1" max="1" width="50" bestFit="1" customWidth="1"/>
    <col min="2" max="2" width="16.28515625" bestFit="1" customWidth="1"/>
    <col min="3" max="3" width="17.5703125" bestFit="1" customWidth="1"/>
    <col min="4" max="5" width="25.5703125" customWidth="1"/>
    <col min="6" max="6" width="16.85546875" customWidth="1"/>
    <col min="7" max="8" width="19.28515625" customWidth="1"/>
    <col min="9" max="9" width="17.140625" customWidth="1"/>
    <col min="10" max="11" width="18.140625" customWidth="1"/>
  </cols>
  <sheetData>
    <row r="2" spans="1:8" x14ac:dyDescent="0.25">
      <c r="A2" s="37" t="s">
        <v>156</v>
      </c>
    </row>
    <row r="3" spans="1:8" x14ac:dyDescent="0.25">
      <c r="B3" s="37" t="s">
        <v>0</v>
      </c>
      <c r="C3" s="37" t="s">
        <v>4</v>
      </c>
      <c r="D3" s="37" t="s">
        <v>1</v>
      </c>
    </row>
    <row r="4" spans="1:8" x14ac:dyDescent="0.25">
      <c r="A4" t="s">
        <v>116</v>
      </c>
      <c r="B4" s="16">
        <v>970901</v>
      </c>
      <c r="C4" s="15" t="s">
        <v>178</v>
      </c>
      <c r="D4" t="s">
        <v>177</v>
      </c>
    </row>
    <row r="5" spans="1:8" x14ac:dyDescent="0.25">
      <c r="A5" t="s">
        <v>118</v>
      </c>
      <c r="B5" s="16">
        <f>6068134+910220+1941802</f>
        <v>8920156</v>
      </c>
      <c r="C5" s="15" t="s">
        <v>178</v>
      </c>
      <c r="D5" t="s">
        <v>177</v>
      </c>
    </row>
    <row r="6" spans="1:8" x14ac:dyDescent="0.25">
      <c r="A6" t="s">
        <v>116</v>
      </c>
      <c r="B6" s="16">
        <v>936676.15</v>
      </c>
      <c r="C6" s="43" t="s">
        <v>117</v>
      </c>
      <c r="D6" s="38" t="s">
        <v>179</v>
      </c>
    </row>
    <row r="7" spans="1:8" x14ac:dyDescent="0.25">
      <c r="A7" t="s">
        <v>118</v>
      </c>
      <c r="B7" s="16">
        <v>8605715.1099999994</v>
      </c>
      <c r="C7" s="43" t="s">
        <v>117</v>
      </c>
      <c r="D7" s="38" t="s">
        <v>179</v>
      </c>
    </row>
    <row r="8" spans="1:8" x14ac:dyDescent="0.25">
      <c r="A8" t="s">
        <v>152</v>
      </c>
      <c r="B8" s="42">
        <f>1500</f>
        <v>1500</v>
      </c>
      <c r="C8" s="43" t="s">
        <v>117</v>
      </c>
      <c r="D8" s="43" t="s">
        <v>150</v>
      </c>
    </row>
    <row r="9" spans="1:8" x14ac:dyDescent="0.25">
      <c r="A9" t="s">
        <v>153</v>
      </c>
      <c r="B9" s="42">
        <v>14000</v>
      </c>
      <c r="C9" s="43" t="s">
        <v>117</v>
      </c>
      <c r="D9" s="43" t="s">
        <v>150</v>
      </c>
    </row>
    <row r="10" spans="1:8" x14ac:dyDescent="0.25">
      <c r="A10" t="s">
        <v>148</v>
      </c>
      <c r="B10" s="42">
        <v>44000</v>
      </c>
      <c r="C10" s="43" t="s">
        <v>117</v>
      </c>
      <c r="D10" s="43" t="s">
        <v>150</v>
      </c>
    </row>
    <row r="11" spans="1:8" x14ac:dyDescent="0.25">
      <c r="A11" t="s">
        <v>149</v>
      </c>
      <c r="B11" s="42">
        <v>68000</v>
      </c>
      <c r="C11" s="43" t="s">
        <v>117</v>
      </c>
      <c r="D11" s="43" t="s">
        <v>150</v>
      </c>
    </row>
    <row r="12" spans="1:8" x14ac:dyDescent="0.25">
      <c r="A12" t="s">
        <v>151</v>
      </c>
      <c r="B12" s="42">
        <v>20000</v>
      </c>
      <c r="C12" s="43" t="s">
        <v>117</v>
      </c>
      <c r="D12" s="43" t="s">
        <v>150</v>
      </c>
    </row>
    <row r="14" spans="1:8" x14ac:dyDescent="0.25">
      <c r="A14" t="s">
        <v>122</v>
      </c>
      <c r="B14" s="8" t="s">
        <v>180</v>
      </c>
    </row>
    <row r="15" spans="1:8" x14ac:dyDescent="0.25">
      <c r="B15" s="8"/>
    </row>
    <row r="16" spans="1:8" ht="60" x14ac:dyDescent="0.25">
      <c r="A16" s="44" t="s">
        <v>32</v>
      </c>
      <c r="B16" s="44" t="s">
        <v>6</v>
      </c>
      <c r="C16" s="45" t="s">
        <v>119</v>
      </c>
      <c r="D16" s="45" t="s">
        <v>133</v>
      </c>
      <c r="E16" s="45" t="s">
        <v>120</v>
      </c>
      <c r="F16" s="45" t="s">
        <v>134</v>
      </c>
      <c r="G16" s="45" t="s">
        <v>121</v>
      </c>
      <c r="H16" s="45" t="s">
        <v>135</v>
      </c>
    </row>
    <row r="17" spans="1:8" x14ac:dyDescent="0.25">
      <c r="A17">
        <v>0</v>
      </c>
      <c r="B17">
        <v>2019</v>
      </c>
      <c r="C17" s="8">
        <v>0</v>
      </c>
      <c r="D17" s="8">
        <f>$C17/((1+0.07)^$A17)</f>
        <v>0</v>
      </c>
      <c r="E17" s="8">
        <v>0</v>
      </c>
      <c r="F17" s="8">
        <f t="shared" ref="F17:F37" si="0">$E17/((1+0.07)^$A17)</f>
        <v>0</v>
      </c>
      <c r="G17" s="8">
        <v>0</v>
      </c>
      <c r="H17" s="8">
        <f t="shared" ref="H17:H22" si="1">$G17/((1+0.07)^$A17)</f>
        <v>0</v>
      </c>
    </row>
    <row r="18" spans="1:8" x14ac:dyDescent="0.25">
      <c r="A18">
        <f>A17+1</f>
        <v>1</v>
      </c>
      <c r="B18">
        <f>B17+1</f>
        <v>2020</v>
      </c>
      <c r="C18" s="8">
        <f>B6</f>
        <v>936676.15</v>
      </c>
      <c r="D18" s="8">
        <f>$C18/((1+0.07)^$A18)</f>
        <v>875398.2710280373</v>
      </c>
      <c r="E18" s="8">
        <f>E4</f>
        <v>0</v>
      </c>
      <c r="F18" s="8">
        <f t="shared" si="0"/>
        <v>0</v>
      </c>
      <c r="G18" s="8">
        <v>0</v>
      </c>
      <c r="H18" s="8">
        <f t="shared" si="1"/>
        <v>0</v>
      </c>
    </row>
    <row r="19" spans="1:8" x14ac:dyDescent="0.25">
      <c r="A19">
        <f t="shared" ref="A19:B34" si="2">A18+1</f>
        <v>2</v>
      </c>
      <c r="B19">
        <f>B18+1</f>
        <v>2021</v>
      </c>
      <c r="C19" s="8">
        <v>0</v>
      </c>
      <c r="D19" s="8">
        <f t="shared" ref="D19:D37" si="3">$C19/((1+0.07)^$A19)</f>
        <v>0</v>
      </c>
      <c r="E19" s="8">
        <f>B7</f>
        <v>8605715.1099999994</v>
      </c>
      <c r="F19" s="8">
        <f t="shared" si="0"/>
        <v>7516564.861559961</v>
      </c>
      <c r="G19" s="8">
        <v>0</v>
      </c>
      <c r="H19" s="8">
        <f t="shared" si="1"/>
        <v>0</v>
      </c>
    </row>
    <row r="20" spans="1:8" x14ac:dyDescent="0.25">
      <c r="A20">
        <f t="shared" si="2"/>
        <v>3</v>
      </c>
      <c r="B20">
        <f>B19+1</f>
        <v>2022</v>
      </c>
      <c r="C20" s="8">
        <v>0</v>
      </c>
      <c r="D20" s="8">
        <f t="shared" si="3"/>
        <v>0</v>
      </c>
      <c r="E20" s="8">
        <v>0</v>
      </c>
      <c r="F20" s="8">
        <f t="shared" si="0"/>
        <v>0</v>
      </c>
      <c r="G20" s="8">
        <f t="shared" ref="G20:G23" si="4">$B$8+$B$9</f>
        <v>15500</v>
      </c>
      <c r="H20" s="8">
        <f t="shared" si="1"/>
        <v>12652.617091808204</v>
      </c>
    </row>
    <row r="21" spans="1:8" x14ac:dyDescent="0.25">
      <c r="A21">
        <f t="shared" si="2"/>
        <v>4</v>
      </c>
      <c r="B21">
        <f t="shared" si="2"/>
        <v>2023</v>
      </c>
      <c r="C21" s="8">
        <v>0</v>
      </c>
      <c r="D21" s="8">
        <f t="shared" si="3"/>
        <v>0</v>
      </c>
      <c r="E21" s="8">
        <v>0</v>
      </c>
      <c r="F21" s="8">
        <f t="shared" si="0"/>
        <v>0</v>
      </c>
      <c r="G21" s="8">
        <f t="shared" si="4"/>
        <v>15500</v>
      </c>
      <c r="H21" s="8">
        <f t="shared" si="1"/>
        <v>11824.87578673664</v>
      </c>
    </row>
    <row r="22" spans="1:8" x14ac:dyDescent="0.25">
      <c r="A22">
        <f t="shared" si="2"/>
        <v>5</v>
      </c>
      <c r="B22">
        <f t="shared" si="2"/>
        <v>2024</v>
      </c>
      <c r="C22" s="8">
        <v>0</v>
      </c>
      <c r="D22" s="8">
        <f t="shared" si="3"/>
        <v>0</v>
      </c>
      <c r="E22" s="8">
        <v>0</v>
      </c>
      <c r="F22" s="8">
        <f t="shared" si="0"/>
        <v>0</v>
      </c>
      <c r="G22" s="8">
        <f t="shared" si="4"/>
        <v>15500</v>
      </c>
      <c r="H22" s="8">
        <f t="shared" si="1"/>
        <v>11051.285781996859</v>
      </c>
    </row>
    <row r="23" spans="1:8" x14ac:dyDescent="0.25">
      <c r="A23">
        <f t="shared" si="2"/>
        <v>6</v>
      </c>
      <c r="B23">
        <f t="shared" si="2"/>
        <v>2025</v>
      </c>
      <c r="C23" s="8">
        <v>0</v>
      </c>
      <c r="D23" s="8">
        <f t="shared" si="3"/>
        <v>0</v>
      </c>
      <c r="E23" s="8">
        <v>0</v>
      </c>
      <c r="F23" s="8">
        <f t="shared" si="0"/>
        <v>0</v>
      </c>
      <c r="G23" s="8">
        <f t="shared" si="4"/>
        <v>15500</v>
      </c>
      <c r="H23" s="8">
        <f t="shared" ref="H23:H24" si="5">$G23/((1+0.07)^$A23)</f>
        <v>10328.304469155944</v>
      </c>
    </row>
    <row r="24" spans="1:8" x14ac:dyDescent="0.25">
      <c r="A24">
        <f t="shared" si="2"/>
        <v>7</v>
      </c>
      <c r="B24">
        <f t="shared" si="2"/>
        <v>2026</v>
      </c>
      <c r="C24" s="8">
        <v>0</v>
      </c>
      <c r="D24" s="8">
        <f t="shared" si="3"/>
        <v>0</v>
      </c>
      <c r="E24" s="8">
        <v>0</v>
      </c>
      <c r="F24" s="8">
        <f t="shared" si="0"/>
        <v>0</v>
      </c>
      <c r="G24" s="8">
        <f>$B$8+B9+B10+B11</f>
        <v>127500</v>
      </c>
      <c r="H24" s="8">
        <f t="shared" si="5"/>
        <v>79400.592090285369</v>
      </c>
    </row>
    <row r="25" spans="1:8" x14ac:dyDescent="0.25">
      <c r="A25">
        <f t="shared" si="2"/>
        <v>8</v>
      </c>
      <c r="B25">
        <f t="shared" si="2"/>
        <v>2027</v>
      </c>
      <c r="C25" s="8">
        <v>0</v>
      </c>
      <c r="D25" s="8">
        <f t="shared" si="3"/>
        <v>0</v>
      </c>
      <c r="E25" s="8">
        <v>0</v>
      </c>
      <c r="F25" s="8">
        <f t="shared" si="0"/>
        <v>0</v>
      </c>
      <c r="G25" s="8">
        <f t="shared" ref="G25:G27" si="6">$B$8+$B$9</f>
        <v>15500</v>
      </c>
      <c r="H25" s="8">
        <f>$G25/((1+0.07)^$A25)</f>
        <v>9021.141120758095</v>
      </c>
    </row>
    <row r="26" spans="1:8" x14ac:dyDescent="0.25">
      <c r="A26">
        <f t="shared" si="2"/>
        <v>9</v>
      </c>
      <c r="B26">
        <f t="shared" si="2"/>
        <v>2028</v>
      </c>
      <c r="C26" s="8">
        <v>0</v>
      </c>
      <c r="D26" s="8">
        <f t="shared" si="3"/>
        <v>0</v>
      </c>
      <c r="E26" s="8">
        <v>0</v>
      </c>
      <c r="F26" s="8">
        <f t="shared" si="0"/>
        <v>0</v>
      </c>
      <c r="G26" s="8">
        <f t="shared" si="6"/>
        <v>15500</v>
      </c>
      <c r="H26" s="8">
        <f>$G26/((1+0.07)^$A26)</f>
        <v>8430.9730100542947</v>
      </c>
    </row>
    <row r="27" spans="1:8" x14ac:dyDescent="0.25">
      <c r="A27">
        <f t="shared" si="2"/>
        <v>10</v>
      </c>
      <c r="B27">
        <f t="shared" si="2"/>
        <v>2029</v>
      </c>
      <c r="C27" s="8">
        <v>0</v>
      </c>
      <c r="D27" s="8">
        <f t="shared" si="3"/>
        <v>0</v>
      </c>
      <c r="E27" s="8">
        <v>0</v>
      </c>
      <c r="F27" s="8">
        <f t="shared" si="0"/>
        <v>0</v>
      </c>
      <c r="G27" s="8">
        <f t="shared" si="6"/>
        <v>15500</v>
      </c>
      <c r="H27" s="8">
        <f t="shared" ref="H27:H30" si="7">$G27/((1+0.07)^$A27)</f>
        <v>7879.4140280881256</v>
      </c>
    </row>
    <row r="28" spans="1:8" x14ac:dyDescent="0.25">
      <c r="A28">
        <f t="shared" si="2"/>
        <v>11</v>
      </c>
      <c r="B28">
        <f t="shared" si="2"/>
        <v>2030</v>
      </c>
      <c r="C28" s="8">
        <v>0</v>
      </c>
      <c r="D28" s="8">
        <f t="shared" si="3"/>
        <v>0</v>
      </c>
      <c r="E28" s="8">
        <v>0</v>
      </c>
      <c r="F28" s="8">
        <f t="shared" si="0"/>
        <v>0</v>
      </c>
      <c r="G28" s="8">
        <f t="shared" ref="G28:G32" si="8">$B$8+$B$9</f>
        <v>15500</v>
      </c>
      <c r="H28" s="8">
        <f t="shared" si="7"/>
        <v>7363.9383440075935</v>
      </c>
    </row>
    <row r="29" spans="1:8" x14ac:dyDescent="0.25">
      <c r="A29">
        <f t="shared" si="2"/>
        <v>12</v>
      </c>
      <c r="B29">
        <f t="shared" si="2"/>
        <v>2031</v>
      </c>
      <c r="C29" s="8">
        <v>0</v>
      </c>
      <c r="D29" s="8">
        <f t="shared" si="3"/>
        <v>0</v>
      </c>
      <c r="E29" s="8">
        <v>0</v>
      </c>
      <c r="F29" s="8">
        <f t="shared" si="0"/>
        <v>0</v>
      </c>
      <c r="G29" s="8">
        <f>$B$8+B9+B12</f>
        <v>35500</v>
      </c>
      <c r="H29" s="8">
        <f t="shared" si="7"/>
        <v>15762.424553046103</v>
      </c>
    </row>
    <row r="30" spans="1:8" x14ac:dyDescent="0.25">
      <c r="A30">
        <f t="shared" si="2"/>
        <v>13</v>
      </c>
      <c r="B30">
        <f t="shared" si="2"/>
        <v>2032</v>
      </c>
      <c r="C30" s="8">
        <v>0</v>
      </c>
      <c r="D30" s="8">
        <f t="shared" si="3"/>
        <v>0</v>
      </c>
      <c r="E30" s="8">
        <v>0</v>
      </c>
      <c r="F30" s="8">
        <f t="shared" si="0"/>
        <v>0</v>
      </c>
      <c r="G30" s="8">
        <f t="shared" si="8"/>
        <v>15500</v>
      </c>
      <c r="H30" s="8">
        <f t="shared" si="7"/>
        <v>6431.9489422723327</v>
      </c>
    </row>
    <row r="31" spans="1:8" x14ac:dyDescent="0.25">
      <c r="A31">
        <f t="shared" si="2"/>
        <v>14</v>
      </c>
      <c r="B31">
        <f t="shared" si="2"/>
        <v>2033</v>
      </c>
      <c r="C31" s="8">
        <v>0</v>
      </c>
      <c r="D31" s="8">
        <f t="shared" si="3"/>
        <v>0</v>
      </c>
      <c r="E31" s="8">
        <v>0</v>
      </c>
      <c r="F31" s="8">
        <f t="shared" si="0"/>
        <v>0</v>
      </c>
      <c r="G31" s="8">
        <f t="shared" si="8"/>
        <v>15500</v>
      </c>
      <c r="H31" s="8">
        <f>$G31/((1+0.07)^$A31)</f>
        <v>6011.1672357685356</v>
      </c>
    </row>
    <row r="32" spans="1:8" x14ac:dyDescent="0.25">
      <c r="A32">
        <f t="shared" si="2"/>
        <v>15</v>
      </c>
      <c r="B32">
        <f t="shared" si="2"/>
        <v>2034</v>
      </c>
      <c r="C32" s="8">
        <v>0</v>
      </c>
      <c r="D32" s="8">
        <f t="shared" si="3"/>
        <v>0</v>
      </c>
      <c r="E32" s="8">
        <v>0</v>
      </c>
      <c r="F32" s="8">
        <f t="shared" si="0"/>
        <v>0</v>
      </c>
      <c r="G32" s="8">
        <f t="shared" si="8"/>
        <v>15500</v>
      </c>
      <c r="H32" s="8">
        <f t="shared" ref="H32:H34" si="9">$G32/((1+0.07)^$A32)</f>
        <v>5617.9133044565751</v>
      </c>
    </row>
    <row r="33" spans="1:10" x14ac:dyDescent="0.25">
      <c r="A33">
        <f t="shared" si="2"/>
        <v>16</v>
      </c>
      <c r="B33">
        <f t="shared" si="2"/>
        <v>2035</v>
      </c>
      <c r="C33" s="8">
        <v>0</v>
      </c>
      <c r="D33" s="8">
        <f t="shared" si="3"/>
        <v>0</v>
      </c>
      <c r="E33" s="8">
        <v>0</v>
      </c>
      <c r="F33" s="8">
        <f t="shared" si="0"/>
        <v>0</v>
      </c>
      <c r="G33" s="8">
        <f t="shared" ref="G33:G37" si="10">$B$8+$B$9</f>
        <v>15500</v>
      </c>
      <c r="H33" s="8">
        <f t="shared" si="9"/>
        <v>5250.3862658472672</v>
      </c>
    </row>
    <row r="34" spans="1:10" x14ac:dyDescent="0.25">
      <c r="A34">
        <f t="shared" si="2"/>
        <v>17</v>
      </c>
      <c r="B34">
        <f t="shared" si="2"/>
        <v>2036</v>
      </c>
      <c r="C34" s="8">
        <v>0</v>
      </c>
      <c r="D34" s="8">
        <f t="shared" si="3"/>
        <v>0</v>
      </c>
      <c r="E34" s="8">
        <v>0</v>
      </c>
      <c r="F34" s="8">
        <f t="shared" si="0"/>
        <v>0</v>
      </c>
      <c r="G34" s="8">
        <f>$B$8+B9+B10+B11</f>
        <v>127500</v>
      </c>
      <c r="H34" s="8">
        <f t="shared" si="9"/>
        <v>40363.234784174048</v>
      </c>
    </row>
    <row r="35" spans="1:10" x14ac:dyDescent="0.25">
      <c r="A35">
        <f t="shared" ref="A35:B37" si="11">A34+1</f>
        <v>18</v>
      </c>
      <c r="B35">
        <f t="shared" si="11"/>
        <v>2037</v>
      </c>
      <c r="C35" s="8">
        <v>0</v>
      </c>
      <c r="D35" s="8">
        <f t="shared" si="3"/>
        <v>0</v>
      </c>
      <c r="E35" s="8">
        <v>0</v>
      </c>
      <c r="F35" s="8">
        <f t="shared" si="0"/>
        <v>0</v>
      </c>
      <c r="G35" s="8">
        <f t="shared" si="10"/>
        <v>15500</v>
      </c>
      <c r="H35" s="8">
        <f>$G35/((1+0.07)^$A35)</f>
        <v>4585.8907029847733</v>
      </c>
    </row>
    <row r="36" spans="1:10" x14ac:dyDescent="0.25">
      <c r="A36">
        <f t="shared" si="11"/>
        <v>19</v>
      </c>
      <c r="B36">
        <f t="shared" si="11"/>
        <v>2038</v>
      </c>
      <c r="C36" s="8">
        <v>0</v>
      </c>
      <c r="D36" s="8">
        <f t="shared" si="3"/>
        <v>0</v>
      </c>
      <c r="E36" s="8">
        <v>0</v>
      </c>
      <c r="F36" s="8">
        <f t="shared" si="0"/>
        <v>0</v>
      </c>
      <c r="G36" s="8">
        <f t="shared" si="10"/>
        <v>15500</v>
      </c>
      <c r="H36" s="8">
        <f>$G36/((1+0.07)^$A36)</f>
        <v>4285.8791616680119</v>
      </c>
    </row>
    <row r="37" spans="1:10" x14ac:dyDescent="0.25">
      <c r="A37">
        <f t="shared" si="11"/>
        <v>20</v>
      </c>
      <c r="B37">
        <f t="shared" si="11"/>
        <v>2039</v>
      </c>
      <c r="C37" s="8">
        <v>0</v>
      </c>
      <c r="D37" s="8">
        <f t="shared" si="3"/>
        <v>0</v>
      </c>
      <c r="E37" s="8">
        <v>0</v>
      </c>
      <c r="F37" s="8">
        <f t="shared" si="0"/>
        <v>0</v>
      </c>
      <c r="G37" s="8">
        <f t="shared" si="10"/>
        <v>15500</v>
      </c>
      <c r="H37" s="8">
        <f>$G37/((1+0.07)^$A37)</f>
        <v>4005.4945436149646</v>
      </c>
    </row>
    <row r="38" spans="1:10" x14ac:dyDescent="0.25">
      <c r="B38" s="11" t="s">
        <v>10</v>
      </c>
      <c r="C38" s="12">
        <f>SUM(C17:C37)</f>
        <v>936676.15</v>
      </c>
      <c r="D38" s="12">
        <f>SUM(D17:D37)</f>
        <v>875398.2710280373</v>
      </c>
      <c r="E38" s="12">
        <f>SUM(E17:E37)</f>
        <v>8605715.1099999994</v>
      </c>
      <c r="F38" s="12">
        <f t="shared" ref="F38" si="12">SUM(F17:F37)</f>
        <v>7516564.861559961</v>
      </c>
      <c r="G38" s="12">
        <f t="shared" ref="G38:H38" si="13">SUM(G17:G37)</f>
        <v>523000</v>
      </c>
      <c r="H38" s="12">
        <f t="shared" si="13"/>
        <v>250267.48121672374</v>
      </c>
      <c r="J38" s="8"/>
    </row>
  </sheetData>
  <hyperlinks>
    <hyperlink ref="D7" r:id="rId1" xr:uid="{18B9F27C-40D0-4F4C-92ED-CAAC4CCD0BCE}"/>
    <hyperlink ref="D6" r:id="rId2" xr:uid="{971D6BFA-0F6E-49FB-9552-E12CC9EE5AF6}"/>
  </hyperlinks>
  <pageMargins left="0.7" right="0.7" top="0.75" bottom="0.75" header="0.3" footer="0.3"/>
  <pageSetup orientation="portrait" horizontalDpi="4294967295" verticalDpi="4294967295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1"/>
  <sheetViews>
    <sheetView zoomScale="85" zoomScaleNormal="85" workbookViewId="0">
      <selection activeCell="H12" sqref="H12"/>
    </sheetView>
  </sheetViews>
  <sheetFormatPr defaultRowHeight="15" x14ac:dyDescent="0.25"/>
  <cols>
    <col min="1" max="1" width="44.42578125" customWidth="1"/>
    <col min="2" max="4" width="35" customWidth="1"/>
    <col min="5" max="5" width="14.7109375" customWidth="1"/>
    <col min="6" max="6" width="19.5703125" customWidth="1"/>
    <col min="7" max="7" width="21.5703125" customWidth="1"/>
  </cols>
  <sheetData>
    <row r="1" spans="1:10" x14ac:dyDescent="0.25">
      <c r="A1" s="37" t="s">
        <v>156</v>
      </c>
    </row>
    <row r="2" spans="1:10" x14ac:dyDescent="0.25">
      <c r="B2" s="37" t="s">
        <v>0</v>
      </c>
      <c r="C2" s="37" t="s">
        <v>4</v>
      </c>
      <c r="D2" s="37" t="s">
        <v>1</v>
      </c>
    </row>
    <row r="3" spans="1:10" x14ac:dyDescent="0.25">
      <c r="A3" t="s">
        <v>110</v>
      </c>
      <c r="B3" s="13">
        <v>164.86760000000001</v>
      </c>
      <c r="C3" s="13" t="s">
        <v>106</v>
      </c>
      <c r="D3" s="13" t="s">
        <v>174</v>
      </c>
    </row>
    <row r="4" spans="1:10" x14ac:dyDescent="0.25">
      <c r="A4" t="s">
        <v>111</v>
      </c>
      <c r="B4" s="13">
        <v>62.541829999999997</v>
      </c>
      <c r="C4" s="13" t="s">
        <v>106</v>
      </c>
      <c r="D4" s="13" t="s">
        <v>174</v>
      </c>
    </row>
    <row r="5" spans="1:10" x14ac:dyDescent="0.25">
      <c r="A5" t="s">
        <v>51</v>
      </c>
      <c r="B5" s="2">
        <v>1.33</v>
      </c>
      <c r="C5" t="s">
        <v>52</v>
      </c>
      <c r="D5" t="s">
        <v>53</v>
      </c>
    </row>
    <row r="6" spans="1:10" x14ac:dyDescent="0.25">
      <c r="A6" t="s">
        <v>54</v>
      </c>
      <c r="B6">
        <v>3</v>
      </c>
      <c r="C6" t="s">
        <v>14</v>
      </c>
      <c r="D6" t="s">
        <v>154</v>
      </c>
    </row>
    <row r="7" spans="1:10" x14ac:dyDescent="0.25">
      <c r="A7" t="s">
        <v>57</v>
      </c>
      <c r="B7" s="14">
        <v>0.25</v>
      </c>
      <c r="C7" t="s">
        <v>136</v>
      </c>
      <c r="D7" t="s">
        <v>109</v>
      </c>
    </row>
    <row r="8" spans="1:10" s="13" customFormat="1" x14ac:dyDescent="0.25"/>
    <row r="9" spans="1:10" ht="60" x14ac:dyDescent="0.25">
      <c r="A9" s="44" t="s">
        <v>32</v>
      </c>
      <c r="B9" s="44" t="s">
        <v>6</v>
      </c>
      <c r="C9" s="44" t="s">
        <v>55</v>
      </c>
      <c r="D9" s="44" t="s">
        <v>56</v>
      </c>
      <c r="E9" s="25" t="s">
        <v>137</v>
      </c>
      <c r="F9" s="25" t="s">
        <v>138</v>
      </c>
    </row>
    <row r="10" spans="1:10" x14ac:dyDescent="0.25">
      <c r="A10">
        <v>0</v>
      </c>
      <c r="B10">
        <v>2019</v>
      </c>
      <c r="C10">
        <v>0</v>
      </c>
      <c r="D10">
        <f t="shared" ref="D10:D30" si="0">C10*$B$6</f>
        <v>0</v>
      </c>
      <c r="E10" s="8">
        <f t="shared" ref="E10:E30" si="1">D10*$B$7</f>
        <v>0</v>
      </c>
    </row>
    <row r="11" spans="1:10" x14ac:dyDescent="0.25">
      <c r="A11">
        <f>A10+1</f>
        <v>1</v>
      </c>
      <c r="B11">
        <f>B10+1</f>
        <v>2020</v>
      </c>
      <c r="C11">
        <v>0</v>
      </c>
      <c r="D11">
        <f t="shared" si="0"/>
        <v>0</v>
      </c>
      <c r="E11" s="8">
        <f t="shared" si="1"/>
        <v>0</v>
      </c>
      <c r="H11" t="s">
        <v>184</v>
      </c>
      <c r="J11">
        <f>B3*B5</f>
        <v>219.27390800000003</v>
      </c>
    </row>
    <row r="12" spans="1:10" x14ac:dyDescent="0.25">
      <c r="A12">
        <f t="shared" ref="A12:B30" si="2">A11+1</f>
        <v>2</v>
      </c>
      <c r="B12">
        <f>B11+1</f>
        <v>2021</v>
      </c>
      <c r="C12" s="4">
        <f>($B$3*($B$5)*365/2)+($B$4*($B$5)*365/2)</f>
        <v>55197.953896750005</v>
      </c>
      <c r="D12" s="4">
        <f t="shared" si="0"/>
        <v>165593.86169025002</v>
      </c>
      <c r="E12" s="8">
        <f t="shared" si="1"/>
        <v>41398.465422562505</v>
      </c>
      <c r="F12" s="8">
        <f t="shared" ref="F12:F30" si="3">$E12/((1+0.07)^$A12)</f>
        <v>36159.022991145517</v>
      </c>
      <c r="H12" t="s">
        <v>185</v>
      </c>
      <c r="J12">
        <f>B4*B5</f>
        <v>83.180633900000004</v>
      </c>
    </row>
    <row r="13" spans="1:10" x14ac:dyDescent="0.25">
      <c r="A13">
        <f t="shared" si="2"/>
        <v>3</v>
      </c>
      <c r="B13">
        <f>B12+1</f>
        <v>2022</v>
      </c>
      <c r="C13" s="4">
        <f t="shared" ref="C13:C30" si="4">($B$3*($B$5)*365/2)+($B$4*($B$5)*365/2)</f>
        <v>55197.953896750005</v>
      </c>
      <c r="D13" s="4">
        <f t="shared" si="0"/>
        <v>165593.86169025002</v>
      </c>
      <c r="E13" s="8">
        <f t="shared" si="1"/>
        <v>41398.465422562505</v>
      </c>
      <c r="F13" s="8">
        <f t="shared" si="3"/>
        <v>33793.479430977117</v>
      </c>
    </row>
    <row r="14" spans="1:10" x14ac:dyDescent="0.25">
      <c r="A14">
        <f t="shared" si="2"/>
        <v>4</v>
      </c>
      <c r="B14">
        <f t="shared" si="2"/>
        <v>2023</v>
      </c>
      <c r="C14" s="4">
        <f t="shared" si="4"/>
        <v>55197.953896750005</v>
      </c>
      <c r="D14" s="4">
        <f t="shared" si="0"/>
        <v>165593.86169025002</v>
      </c>
      <c r="E14" s="8">
        <f t="shared" si="1"/>
        <v>41398.465422562505</v>
      </c>
      <c r="F14" s="8">
        <f t="shared" si="3"/>
        <v>31582.691056987962</v>
      </c>
    </row>
    <row r="15" spans="1:10" x14ac:dyDescent="0.25">
      <c r="A15">
        <f t="shared" si="2"/>
        <v>5</v>
      </c>
      <c r="B15">
        <f t="shared" si="2"/>
        <v>2024</v>
      </c>
      <c r="C15" s="4">
        <f t="shared" si="4"/>
        <v>55197.953896750005</v>
      </c>
      <c r="D15" s="4">
        <f t="shared" si="0"/>
        <v>165593.86169025002</v>
      </c>
      <c r="E15" s="8">
        <f t="shared" si="1"/>
        <v>41398.465422562505</v>
      </c>
      <c r="F15" s="8">
        <f t="shared" si="3"/>
        <v>29516.533698119591</v>
      </c>
    </row>
    <row r="16" spans="1:10" x14ac:dyDescent="0.25">
      <c r="A16">
        <f t="shared" si="2"/>
        <v>6</v>
      </c>
      <c r="B16">
        <f t="shared" si="2"/>
        <v>2025</v>
      </c>
      <c r="C16" s="4">
        <f t="shared" si="4"/>
        <v>55197.953896750005</v>
      </c>
      <c r="D16" s="4">
        <f t="shared" si="0"/>
        <v>165593.86169025002</v>
      </c>
      <c r="E16" s="8">
        <f t="shared" si="1"/>
        <v>41398.465422562505</v>
      </c>
      <c r="F16" s="8">
        <f t="shared" si="3"/>
        <v>27585.545512261298</v>
      </c>
    </row>
    <row r="17" spans="1:6" x14ac:dyDescent="0.25">
      <c r="A17">
        <f t="shared" si="2"/>
        <v>7</v>
      </c>
      <c r="B17">
        <f t="shared" si="2"/>
        <v>2026</v>
      </c>
      <c r="C17" s="4">
        <f t="shared" si="4"/>
        <v>55197.953896750005</v>
      </c>
      <c r="D17" s="4">
        <f t="shared" si="0"/>
        <v>165593.86169025002</v>
      </c>
      <c r="E17" s="8">
        <f t="shared" si="1"/>
        <v>41398.465422562505</v>
      </c>
      <c r="F17" s="8">
        <f t="shared" si="3"/>
        <v>25780.883656318969</v>
      </c>
    </row>
    <row r="18" spans="1:6" x14ac:dyDescent="0.25">
      <c r="A18">
        <f t="shared" si="2"/>
        <v>8</v>
      </c>
      <c r="B18">
        <f t="shared" si="2"/>
        <v>2027</v>
      </c>
      <c r="C18" s="4">
        <f t="shared" si="4"/>
        <v>55197.953896750005</v>
      </c>
      <c r="D18" s="4">
        <f t="shared" si="0"/>
        <v>165593.86169025002</v>
      </c>
      <c r="E18" s="8">
        <f t="shared" si="1"/>
        <v>41398.465422562505</v>
      </c>
      <c r="F18" s="8">
        <f t="shared" si="3"/>
        <v>24094.283790952308</v>
      </c>
    </row>
    <row r="19" spans="1:6" x14ac:dyDescent="0.25">
      <c r="A19">
        <f t="shared" si="2"/>
        <v>9</v>
      </c>
      <c r="B19">
        <f t="shared" si="2"/>
        <v>2028</v>
      </c>
      <c r="C19" s="4">
        <f t="shared" si="4"/>
        <v>55197.953896750005</v>
      </c>
      <c r="D19" s="4">
        <f t="shared" si="0"/>
        <v>165593.86169025002</v>
      </c>
      <c r="E19" s="8">
        <f t="shared" si="1"/>
        <v>41398.465422562505</v>
      </c>
      <c r="F19" s="8">
        <f t="shared" si="3"/>
        <v>22518.022234534867</v>
      </c>
    </row>
    <row r="20" spans="1:6" x14ac:dyDescent="0.25">
      <c r="A20">
        <f t="shared" si="2"/>
        <v>10</v>
      </c>
      <c r="B20">
        <f t="shared" si="2"/>
        <v>2029</v>
      </c>
      <c r="C20" s="4">
        <f t="shared" si="4"/>
        <v>55197.953896750005</v>
      </c>
      <c r="D20" s="4">
        <f t="shared" si="0"/>
        <v>165593.86169025002</v>
      </c>
      <c r="E20" s="8">
        <f t="shared" si="1"/>
        <v>41398.465422562505</v>
      </c>
      <c r="F20" s="8">
        <f t="shared" si="3"/>
        <v>21044.880593023241</v>
      </c>
    </row>
    <row r="21" spans="1:6" x14ac:dyDescent="0.25">
      <c r="A21">
        <f t="shared" si="2"/>
        <v>11</v>
      </c>
      <c r="B21">
        <f t="shared" si="2"/>
        <v>2030</v>
      </c>
      <c r="C21" s="4">
        <f t="shared" si="4"/>
        <v>55197.953896750005</v>
      </c>
      <c r="D21" s="4">
        <f t="shared" si="0"/>
        <v>165593.86169025002</v>
      </c>
      <c r="E21" s="8">
        <f t="shared" si="1"/>
        <v>41398.465422562505</v>
      </c>
      <c r="F21" s="8">
        <f t="shared" si="3"/>
        <v>19668.112703760034</v>
      </c>
    </row>
    <row r="22" spans="1:6" x14ac:dyDescent="0.25">
      <c r="A22">
        <f t="shared" si="2"/>
        <v>12</v>
      </c>
      <c r="B22">
        <f t="shared" si="2"/>
        <v>2031</v>
      </c>
      <c r="C22" s="4">
        <f t="shared" si="4"/>
        <v>55197.953896750005</v>
      </c>
      <c r="D22" s="4">
        <f t="shared" si="0"/>
        <v>165593.86169025002</v>
      </c>
      <c r="E22" s="8">
        <f t="shared" si="1"/>
        <v>41398.465422562505</v>
      </c>
      <c r="F22" s="8">
        <f t="shared" si="3"/>
        <v>18381.413741831813</v>
      </c>
    </row>
    <row r="23" spans="1:6" x14ac:dyDescent="0.25">
      <c r="A23">
        <f t="shared" si="2"/>
        <v>13</v>
      </c>
      <c r="B23">
        <f t="shared" si="2"/>
        <v>2032</v>
      </c>
      <c r="C23" s="4">
        <f t="shared" si="4"/>
        <v>55197.953896750005</v>
      </c>
      <c r="D23" s="4">
        <f t="shared" si="0"/>
        <v>165593.86169025002</v>
      </c>
      <c r="E23" s="8">
        <f t="shared" si="1"/>
        <v>41398.465422562505</v>
      </c>
      <c r="F23" s="8">
        <f t="shared" si="3"/>
        <v>17178.891347506364</v>
      </c>
    </row>
    <row r="24" spans="1:6" x14ac:dyDescent="0.25">
      <c r="A24">
        <f t="shared" si="2"/>
        <v>14</v>
      </c>
      <c r="B24">
        <f t="shared" si="2"/>
        <v>2033</v>
      </c>
      <c r="C24" s="4">
        <f t="shared" si="4"/>
        <v>55197.953896750005</v>
      </c>
      <c r="D24" s="4">
        <f t="shared" si="0"/>
        <v>165593.86169025002</v>
      </c>
      <c r="E24" s="8">
        <f t="shared" si="1"/>
        <v>41398.465422562505</v>
      </c>
      <c r="F24" s="8">
        <f t="shared" si="3"/>
        <v>16055.038642529315</v>
      </c>
    </row>
    <row r="25" spans="1:6" x14ac:dyDescent="0.25">
      <c r="A25">
        <f t="shared" si="2"/>
        <v>15</v>
      </c>
      <c r="B25">
        <f t="shared" si="2"/>
        <v>2034</v>
      </c>
      <c r="C25" s="4">
        <f t="shared" si="4"/>
        <v>55197.953896750005</v>
      </c>
      <c r="D25" s="4">
        <f t="shared" si="0"/>
        <v>165593.86169025002</v>
      </c>
      <c r="E25" s="8">
        <f t="shared" si="1"/>
        <v>41398.465422562505</v>
      </c>
      <c r="F25" s="8">
        <f t="shared" si="3"/>
        <v>15004.709011709638</v>
      </c>
    </row>
    <row r="26" spans="1:6" x14ac:dyDescent="0.25">
      <c r="A26">
        <f t="shared" si="2"/>
        <v>16</v>
      </c>
      <c r="B26">
        <f t="shared" si="2"/>
        <v>2035</v>
      </c>
      <c r="C26" s="4">
        <f t="shared" si="4"/>
        <v>55197.953896750005</v>
      </c>
      <c r="D26" s="4">
        <f t="shared" si="0"/>
        <v>165593.86169025002</v>
      </c>
      <c r="E26" s="8">
        <f t="shared" si="1"/>
        <v>41398.465422562505</v>
      </c>
      <c r="F26" s="8">
        <f t="shared" si="3"/>
        <v>14023.092534308074</v>
      </c>
    </row>
    <row r="27" spans="1:6" x14ac:dyDescent="0.25">
      <c r="A27">
        <f t="shared" si="2"/>
        <v>17</v>
      </c>
      <c r="B27">
        <f t="shared" si="2"/>
        <v>2036</v>
      </c>
      <c r="C27" s="4">
        <f t="shared" si="4"/>
        <v>55197.953896750005</v>
      </c>
      <c r="D27" s="4">
        <f t="shared" si="0"/>
        <v>165593.86169025002</v>
      </c>
      <c r="E27" s="8">
        <f t="shared" si="1"/>
        <v>41398.465422562505</v>
      </c>
      <c r="F27" s="8">
        <f t="shared" si="3"/>
        <v>13105.693957297266</v>
      </c>
    </row>
    <row r="28" spans="1:6" x14ac:dyDescent="0.25">
      <c r="A28">
        <f t="shared" si="2"/>
        <v>18</v>
      </c>
      <c r="B28">
        <f t="shared" si="2"/>
        <v>2037</v>
      </c>
      <c r="C28" s="4">
        <f t="shared" si="4"/>
        <v>55197.953896750005</v>
      </c>
      <c r="D28" s="4">
        <f t="shared" si="0"/>
        <v>165593.86169025002</v>
      </c>
      <c r="E28" s="8">
        <f t="shared" si="1"/>
        <v>41398.465422562505</v>
      </c>
      <c r="F28" s="8">
        <f t="shared" si="3"/>
        <v>12248.312109623612</v>
      </c>
    </row>
    <row r="29" spans="1:6" x14ac:dyDescent="0.25">
      <c r="A29">
        <f t="shared" si="2"/>
        <v>19</v>
      </c>
      <c r="B29">
        <f t="shared" si="2"/>
        <v>2038</v>
      </c>
      <c r="C29" s="4">
        <f t="shared" si="4"/>
        <v>55197.953896750005</v>
      </c>
      <c r="D29" s="4">
        <f t="shared" si="0"/>
        <v>165593.86169025002</v>
      </c>
      <c r="E29" s="8">
        <f t="shared" si="1"/>
        <v>41398.465422562505</v>
      </c>
      <c r="F29" s="8">
        <f t="shared" si="3"/>
        <v>11447.020663199637</v>
      </c>
    </row>
    <row r="30" spans="1:6" x14ac:dyDescent="0.25">
      <c r="A30">
        <f t="shared" si="2"/>
        <v>20</v>
      </c>
      <c r="B30">
        <f t="shared" si="2"/>
        <v>2039</v>
      </c>
      <c r="C30" s="4">
        <f t="shared" si="4"/>
        <v>55197.953896750005</v>
      </c>
      <c r="D30" s="4">
        <f t="shared" si="0"/>
        <v>165593.86169025002</v>
      </c>
      <c r="E30" s="8">
        <f t="shared" si="1"/>
        <v>41398.465422562505</v>
      </c>
      <c r="F30" s="8">
        <f t="shared" si="3"/>
        <v>10698.150152523027</v>
      </c>
    </row>
    <row r="31" spans="1:6" x14ac:dyDescent="0.25">
      <c r="E31" s="11" t="s">
        <v>10</v>
      </c>
      <c r="F31" s="12">
        <f>SUM(F12:F30)</f>
        <v>399885.77782860975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2"/>
  <sheetViews>
    <sheetView zoomScale="85" zoomScaleNormal="85" workbookViewId="0">
      <selection activeCell="G20" sqref="G20"/>
    </sheetView>
  </sheetViews>
  <sheetFormatPr defaultRowHeight="15" x14ac:dyDescent="0.25"/>
  <cols>
    <col min="1" max="1" width="63.140625" customWidth="1"/>
    <col min="2" max="4" width="35" customWidth="1"/>
    <col min="5" max="5" width="34.5703125" customWidth="1"/>
    <col min="6" max="6" width="19.5703125" customWidth="1"/>
    <col min="7" max="7" width="21.5703125" customWidth="1"/>
  </cols>
  <sheetData>
    <row r="1" spans="1:4" x14ac:dyDescent="0.25">
      <c r="A1" s="37" t="s">
        <v>156</v>
      </c>
      <c r="C1" s="2"/>
      <c r="D1" s="40"/>
    </row>
    <row r="2" spans="1:4" x14ac:dyDescent="0.25">
      <c r="B2" s="37" t="s">
        <v>0</v>
      </c>
      <c r="C2" s="37" t="s">
        <v>4</v>
      </c>
      <c r="D2" s="37" t="s">
        <v>1</v>
      </c>
    </row>
    <row r="3" spans="1:4" x14ac:dyDescent="0.25">
      <c r="A3" s="13" t="s">
        <v>175</v>
      </c>
      <c r="B3" s="43">
        <v>458</v>
      </c>
      <c r="C3" s="43" t="s">
        <v>104</v>
      </c>
      <c r="D3" s="43" t="s">
        <v>168</v>
      </c>
    </row>
    <row r="4" spans="1:4" x14ac:dyDescent="0.25">
      <c r="A4" t="s">
        <v>170</v>
      </c>
      <c r="B4" s="75">
        <v>87132</v>
      </c>
      <c r="C4" s="43" t="s">
        <v>183</v>
      </c>
      <c r="D4" s="43" t="s">
        <v>168</v>
      </c>
    </row>
    <row r="5" spans="1:4" x14ac:dyDescent="0.25">
      <c r="A5" t="s">
        <v>170</v>
      </c>
      <c r="B5" s="18">
        <v>85364.52</v>
      </c>
      <c r="C5" s="15" t="s">
        <v>117</v>
      </c>
      <c r="D5" s="15" t="s">
        <v>139</v>
      </c>
    </row>
    <row r="6" spans="1:4" x14ac:dyDescent="0.25">
      <c r="A6" t="s">
        <v>78</v>
      </c>
      <c r="B6" s="19">
        <v>0.06</v>
      </c>
      <c r="C6" s="15" t="s">
        <v>79</v>
      </c>
      <c r="D6" s="15" t="s">
        <v>77</v>
      </c>
    </row>
    <row r="7" spans="1:4" x14ac:dyDescent="0.25">
      <c r="A7" t="s">
        <v>81</v>
      </c>
      <c r="B7" s="19">
        <v>0.05</v>
      </c>
      <c r="C7" s="15" t="s">
        <v>79</v>
      </c>
      <c r="D7" s="15" t="s">
        <v>80</v>
      </c>
    </row>
    <row r="8" spans="1:4" x14ac:dyDescent="0.25">
      <c r="A8" t="s">
        <v>83</v>
      </c>
      <c r="B8" s="19">
        <v>0.14000000000000001</v>
      </c>
      <c r="C8" s="15" t="s">
        <v>79</v>
      </c>
      <c r="D8" s="15" t="s">
        <v>82</v>
      </c>
    </row>
    <row r="9" spans="1:4" x14ac:dyDescent="0.25">
      <c r="A9" t="s">
        <v>85</v>
      </c>
      <c r="B9" s="20">
        <v>7.05</v>
      </c>
      <c r="C9" s="15" t="s">
        <v>86</v>
      </c>
      <c r="D9" s="15" t="s">
        <v>84</v>
      </c>
    </row>
    <row r="10" spans="1:4" x14ac:dyDescent="0.25">
      <c r="A10" t="s">
        <v>87</v>
      </c>
      <c r="B10" s="21">
        <v>203596</v>
      </c>
      <c r="C10" s="15" t="s">
        <v>86</v>
      </c>
      <c r="D10" s="15" t="s">
        <v>84</v>
      </c>
    </row>
    <row r="11" spans="1:4" x14ac:dyDescent="0.25">
      <c r="A11" t="s">
        <v>88</v>
      </c>
      <c r="B11" s="22">
        <f>B9*5280-B9*2640</f>
        <v>18612</v>
      </c>
      <c r="C11" s="15" t="s">
        <v>86</v>
      </c>
      <c r="D11" s="15" t="s">
        <v>37</v>
      </c>
    </row>
    <row r="12" spans="1:4" x14ac:dyDescent="0.25">
      <c r="A12" t="s">
        <v>89</v>
      </c>
      <c r="B12" s="2">
        <f>B11/B10</f>
        <v>9.141633430912198E-2</v>
      </c>
      <c r="C12" s="15"/>
      <c r="D12" s="15" t="s">
        <v>37</v>
      </c>
    </row>
    <row r="13" spans="1:4" x14ac:dyDescent="0.25">
      <c r="A13" t="s">
        <v>90</v>
      </c>
      <c r="B13" s="23">
        <f>AVERAGE(B6,B7,B8,B12)*B5</f>
        <v>7286.210374614433</v>
      </c>
      <c r="C13" s="15"/>
      <c r="D13" s="15" t="s">
        <v>37</v>
      </c>
    </row>
    <row r="14" spans="1:4" x14ac:dyDescent="0.25">
      <c r="A14" t="s">
        <v>91</v>
      </c>
      <c r="B14" s="18">
        <f>B13*B3</f>
        <v>3337084.3515734104</v>
      </c>
      <c r="C14" s="15"/>
      <c r="D14" s="15" t="s">
        <v>37</v>
      </c>
    </row>
    <row r="15" spans="1:4" x14ac:dyDescent="0.25">
      <c r="A15" t="s">
        <v>155</v>
      </c>
      <c r="B15" s="3">
        <f>AVERAGE(B12,B8,B7,B6)</f>
        <v>8.5354083577280498E-2</v>
      </c>
      <c r="C15" s="15"/>
      <c r="D15" t="s">
        <v>107</v>
      </c>
    </row>
    <row r="16" spans="1:4" s="13" customFormat="1" x14ac:dyDescent="0.25">
      <c r="A16" t="s">
        <v>107</v>
      </c>
    </row>
    <row r="17" spans="1:7" s="13" customFormat="1" x14ac:dyDescent="0.25">
      <c r="A17"/>
    </row>
    <row r="18" spans="1:7" ht="60" x14ac:dyDescent="0.25">
      <c r="A18" s="44" t="s">
        <v>32</v>
      </c>
      <c r="B18" s="44" t="s">
        <v>6</v>
      </c>
      <c r="C18" s="25" t="s">
        <v>92</v>
      </c>
      <c r="D18" s="25" t="s">
        <v>140</v>
      </c>
    </row>
    <row r="19" spans="1:7" x14ac:dyDescent="0.25">
      <c r="A19">
        <v>0</v>
      </c>
      <c r="B19">
        <v>2019</v>
      </c>
      <c r="C19">
        <v>0</v>
      </c>
    </row>
    <row r="20" spans="1:7" x14ac:dyDescent="0.25">
      <c r="A20">
        <f>A19+1</f>
        <v>1</v>
      </c>
      <c r="B20">
        <f>B19+1</f>
        <v>2020</v>
      </c>
      <c r="C20">
        <v>0</v>
      </c>
      <c r="G20" s="14"/>
    </row>
    <row r="21" spans="1:7" x14ac:dyDescent="0.25">
      <c r="A21">
        <f t="shared" ref="A21:B36" si="0">A20+1</f>
        <v>2</v>
      </c>
      <c r="B21">
        <f>B20+1</f>
        <v>2021</v>
      </c>
      <c r="C21" s="14">
        <f>$B$14/3</f>
        <v>1112361.4505244701</v>
      </c>
      <c r="D21" s="8">
        <f>$C21/((1+0.07)^$A21)</f>
        <v>971579.57072623819</v>
      </c>
    </row>
    <row r="22" spans="1:7" x14ac:dyDescent="0.25">
      <c r="A22">
        <f t="shared" si="0"/>
        <v>3</v>
      </c>
      <c r="B22">
        <f>B21+1</f>
        <v>2022</v>
      </c>
      <c r="C22" s="14">
        <f>$B$14/3</f>
        <v>1112361.4505244701</v>
      </c>
      <c r="D22" s="8">
        <f t="shared" ref="D22:D39" si="1">$C22/((1+0.07)^$A22)</f>
        <v>908018.29039835336</v>
      </c>
    </row>
    <row r="23" spans="1:7" x14ac:dyDescent="0.25">
      <c r="A23">
        <f t="shared" si="0"/>
        <v>4</v>
      </c>
      <c r="B23">
        <f t="shared" si="0"/>
        <v>2023</v>
      </c>
      <c r="C23" s="14">
        <f>$B$14/3</f>
        <v>1112361.4505244701</v>
      </c>
      <c r="D23" s="8">
        <f t="shared" si="1"/>
        <v>848615.22467135836</v>
      </c>
    </row>
    <row r="24" spans="1:7" x14ac:dyDescent="0.25">
      <c r="A24">
        <f t="shared" si="0"/>
        <v>5</v>
      </c>
      <c r="B24">
        <f t="shared" si="0"/>
        <v>2024</v>
      </c>
      <c r="C24" s="14"/>
      <c r="D24" s="8">
        <f t="shared" si="1"/>
        <v>0</v>
      </c>
    </row>
    <row r="25" spans="1:7" x14ac:dyDescent="0.25">
      <c r="A25">
        <f t="shared" si="0"/>
        <v>6</v>
      </c>
      <c r="B25">
        <f t="shared" si="0"/>
        <v>2025</v>
      </c>
      <c r="C25" s="8">
        <f t="shared" ref="C25:C39" si="2">$B$12</f>
        <v>9.141633430912198E-2</v>
      </c>
      <c r="D25" s="8">
        <f t="shared" si="1"/>
        <v>6.0914563496694094E-2</v>
      </c>
    </row>
    <row r="26" spans="1:7" x14ac:dyDescent="0.25">
      <c r="A26">
        <f t="shared" si="0"/>
        <v>7</v>
      </c>
      <c r="B26">
        <f t="shared" si="0"/>
        <v>2026</v>
      </c>
      <c r="C26" s="8">
        <f t="shared" si="2"/>
        <v>9.141633430912198E-2</v>
      </c>
      <c r="D26" s="8">
        <f t="shared" si="1"/>
        <v>5.6929498595041206E-2</v>
      </c>
    </row>
    <row r="27" spans="1:7" x14ac:dyDescent="0.25">
      <c r="A27">
        <f t="shared" si="0"/>
        <v>8</v>
      </c>
      <c r="B27">
        <f t="shared" si="0"/>
        <v>2027</v>
      </c>
      <c r="C27" s="8">
        <f t="shared" si="2"/>
        <v>9.141633430912198E-2</v>
      </c>
      <c r="D27" s="8">
        <f t="shared" si="1"/>
        <v>5.3205138873870288E-2</v>
      </c>
    </row>
    <row r="28" spans="1:7" x14ac:dyDescent="0.25">
      <c r="A28">
        <f t="shared" si="0"/>
        <v>9</v>
      </c>
      <c r="B28">
        <f t="shared" si="0"/>
        <v>2028</v>
      </c>
      <c r="C28" s="8">
        <f t="shared" si="2"/>
        <v>9.141633430912198E-2</v>
      </c>
      <c r="D28" s="8">
        <f t="shared" si="1"/>
        <v>4.9724428854084374E-2</v>
      </c>
    </row>
    <row r="29" spans="1:7" x14ac:dyDescent="0.25">
      <c r="A29">
        <f t="shared" si="0"/>
        <v>10</v>
      </c>
      <c r="B29">
        <f t="shared" si="0"/>
        <v>2029</v>
      </c>
      <c r="C29" s="8">
        <f t="shared" si="2"/>
        <v>9.141633430912198E-2</v>
      </c>
      <c r="D29" s="8">
        <f t="shared" si="1"/>
        <v>4.6471428835592875E-2</v>
      </c>
    </row>
    <row r="30" spans="1:7" x14ac:dyDescent="0.25">
      <c r="A30">
        <f t="shared" si="0"/>
        <v>11</v>
      </c>
      <c r="B30">
        <f t="shared" si="0"/>
        <v>2030</v>
      </c>
      <c r="C30" s="8">
        <f t="shared" si="2"/>
        <v>9.141633430912198E-2</v>
      </c>
      <c r="D30" s="8">
        <f t="shared" si="1"/>
        <v>4.3431241902423243E-2</v>
      </c>
    </row>
    <row r="31" spans="1:7" x14ac:dyDescent="0.25">
      <c r="A31">
        <f t="shared" si="0"/>
        <v>12</v>
      </c>
      <c r="B31">
        <f t="shared" si="0"/>
        <v>2031</v>
      </c>
      <c r="C31" s="8">
        <f t="shared" si="2"/>
        <v>9.141633430912198E-2</v>
      </c>
      <c r="D31" s="8">
        <f t="shared" si="1"/>
        <v>4.05899457031993E-2</v>
      </c>
    </row>
    <row r="32" spans="1:7" x14ac:dyDescent="0.25">
      <c r="A32">
        <f t="shared" si="0"/>
        <v>13</v>
      </c>
      <c r="B32">
        <f t="shared" si="0"/>
        <v>2032</v>
      </c>
      <c r="C32" s="8">
        <f t="shared" si="2"/>
        <v>9.141633430912198E-2</v>
      </c>
      <c r="D32" s="8">
        <f t="shared" si="1"/>
        <v>3.7934528694578779E-2</v>
      </c>
    </row>
    <row r="33" spans="1:5" x14ac:dyDescent="0.25">
      <c r="A33">
        <f t="shared" si="0"/>
        <v>14</v>
      </c>
      <c r="B33">
        <f t="shared" si="0"/>
        <v>2033</v>
      </c>
      <c r="C33" s="8">
        <f t="shared" si="2"/>
        <v>9.141633430912198E-2</v>
      </c>
      <c r="D33" s="8">
        <f t="shared" si="1"/>
        <v>3.5452830555681103E-2</v>
      </c>
    </row>
    <row r="34" spans="1:5" x14ac:dyDescent="0.25">
      <c r="A34">
        <f t="shared" si="0"/>
        <v>15</v>
      </c>
      <c r="B34">
        <f t="shared" si="0"/>
        <v>2034</v>
      </c>
      <c r="C34" s="8">
        <f t="shared" si="2"/>
        <v>9.141633430912198E-2</v>
      </c>
      <c r="D34" s="8">
        <f t="shared" si="1"/>
        <v>3.3133486500636543E-2</v>
      </c>
    </row>
    <row r="35" spans="1:5" x14ac:dyDescent="0.25">
      <c r="A35">
        <f t="shared" si="0"/>
        <v>16</v>
      </c>
      <c r="B35">
        <f t="shared" si="0"/>
        <v>2035</v>
      </c>
      <c r="C35" s="8">
        <f t="shared" si="2"/>
        <v>9.141633430912198E-2</v>
      </c>
      <c r="D35" s="8">
        <f t="shared" si="1"/>
        <v>3.0965875234239763E-2</v>
      </c>
    </row>
    <row r="36" spans="1:5" x14ac:dyDescent="0.25">
      <c r="A36">
        <f t="shared" si="0"/>
        <v>17</v>
      </c>
      <c r="B36">
        <f t="shared" si="0"/>
        <v>2036</v>
      </c>
      <c r="C36" s="8">
        <f t="shared" si="2"/>
        <v>9.141633430912198E-2</v>
      </c>
      <c r="D36" s="8">
        <f t="shared" si="1"/>
        <v>2.8940070312373611E-2</v>
      </c>
    </row>
    <row r="37" spans="1:5" x14ac:dyDescent="0.25">
      <c r="A37">
        <f t="shared" ref="A37:B39" si="3">A36+1</f>
        <v>18</v>
      </c>
      <c r="B37">
        <f t="shared" si="3"/>
        <v>2037</v>
      </c>
      <c r="C37" s="8">
        <f t="shared" si="2"/>
        <v>9.141633430912198E-2</v>
      </c>
      <c r="D37" s="8">
        <f t="shared" si="1"/>
        <v>2.704679468446132E-2</v>
      </c>
    </row>
    <row r="38" spans="1:5" x14ac:dyDescent="0.25">
      <c r="A38">
        <f t="shared" si="3"/>
        <v>19</v>
      </c>
      <c r="B38">
        <f t="shared" si="3"/>
        <v>2038</v>
      </c>
      <c r="C38" s="8">
        <f t="shared" si="2"/>
        <v>9.141633430912198E-2</v>
      </c>
      <c r="D38" s="8">
        <f t="shared" si="1"/>
        <v>2.5277378209776932E-2</v>
      </c>
    </row>
    <row r="39" spans="1:5" x14ac:dyDescent="0.25">
      <c r="A39">
        <f t="shared" si="3"/>
        <v>20</v>
      </c>
      <c r="B39">
        <f t="shared" si="3"/>
        <v>2039</v>
      </c>
      <c r="C39" s="8">
        <f t="shared" si="2"/>
        <v>9.141633430912198E-2</v>
      </c>
      <c r="D39" s="8">
        <f t="shared" si="1"/>
        <v>2.3623717953062555E-2</v>
      </c>
    </row>
    <row r="40" spans="1:5" x14ac:dyDescent="0.25">
      <c r="C40" s="11" t="s">
        <v>10</v>
      </c>
      <c r="D40" s="12">
        <f>SUM(D21:D39)</f>
        <v>2728213.6794368783</v>
      </c>
    </row>
    <row r="42" spans="1:5" x14ac:dyDescent="0.25">
      <c r="D42" s="8"/>
      <c r="E42" s="8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8"/>
  <sheetViews>
    <sheetView topLeftCell="A4" zoomScale="85" zoomScaleNormal="85" workbookViewId="0">
      <selection activeCell="F29" sqref="F29"/>
    </sheetView>
  </sheetViews>
  <sheetFormatPr defaultRowHeight="15" x14ac:dyDescent="0.25"/>
  <cols>
    <col min="1" max="1" width="44" customWidth="1"/>
    <col min="2" max="3" width="35" customWidth="1"/>
    <col min="4" max="4" width="57.85546875" customWidth="1"/>
    <col min="5" max="5" width="34.5703125" customWidth="1"/>
    <col min="6" max="6" width="19.5703125" customWidth="1"/>
    <col min="7" max="7" width="21.5703125" customWidth="1"/>
  </cols>
  <sheetData>
    <row r="1" spans="1:5" x14ac:dyDescent="0.25">
      <c r="A1" s="37" t="s">
        <v>156</v>
      </c>
    </row>
    <row r="2" spans="1:5" x14ac:dyDescent="0.25">
      <c r="B2" s="37" t="s">
        <v>0</v>
      </c>
      <c r="C2" s="37" t="s">
        <v>4</v>
      </c>
      <c r="D2" s="37" t="s">
        <v>1</v>
      </c>
    </row>
    <row r="3" spans="1:5" x14ac:dyDescent="0.25">
      <c r="A3" s="13" t="s">
        <v>125</v>
      </c>
      <c r="B3" s="65">
        <v>273829</v>
      </c>
      <c r="C3" s="43" t="s">
        <v>117</v>
      </c>
      <c r="D3" s="43" t="s">
        <v>123</v>
      </c>
    </row>
    <row r="4" spans="1:5" x14ac:dyDescent="0.25">
      <c r="A4" s="13" t="s">
        <v>126</v>
      </c>
      <c r="B4" s="65">
        <v>202304</v>
      </c>
      <c r="C4" s="43" t="s">
        <v>117</v>
      </c>
      <c r="D4" s="43" t="s">
        <v>123</v>
      </c>
    </row>
    <row r="5" spans="1:5" x14ac:dyDescent="0.25">
      <c r="A5" s="13" t="s">
        <v>127</v>
      </c>
      <c r="B5" s="65">
        <v>0</v>
      </c>
      <c r="C5" s="43" t="s">
        <v>117</v>
      </c>
      <c r="D5" s="43" t="s">
        <v>123</v>
      </c>
      <c r="E5" s="15" t="s">
        <v>157</v>
      </c>
    </row>
    <row r="6" spans="1:5" x14ac:dyDescent="0.25">
      <c r="A6" s="13" t="s">
        <v>128</v>
      </c>
      <c r="B6" s="65">
        <v>110760</v>
      </c>
      <c r="C6" s="43" t="s">
        <v>117</v>
      </c>
      <c r="D6" s="43" t="s">
        <v>123</v>
      </c>
    </row>
    <row r="7" spans="1:5" x14ac:dyDescent="0.25">
      <c r="A7" s="13" t="s">
        <v>129</v>
      </c>
      <c r="B7" s="65">
        <v>0</v>
      </c>
      <c r="C7" s="43" t="s">
        <v>117</v>
      </c>
      <c r="D7" s="43" t="s">
        <v>123</v>
      </c>
      <c r="E7" s="15" t="s">
        <v>157</v>
      </c>
    </row>
    <row r="8" spans="1:5" x14ac:dyDescent="0.25">
      <c r="A8" t="s">
        <v>124</v>
      </c>
      <c r="B8" s="21">
        <f>SUM(B3:B7)</f>
        <v>586893</v>
      </c>
      <c r="C8" s="15" t="s">
        <v>117</v>
      </c>
      <c r="D8" s="15" t="s">
        <v>37</v>
      </c>
    </row>
    <row r="9" spans="1:5" x14ac:dyDescent="0.25">
      <c r="A9" t="s">
        <v>130</v>
      </c>
      <c r="B9" s="47">
        <f>AVERAGE(0.61,0.38,0.34,0.47,0.79)</f>
        <v>0.51800000000000002</v>
      </c>
      <c r="C9" s="15"/>
      <c r="D9" t="s">
        <v>141</v>
      </c>
    </row>
    <row r="10" spans="1:5" x14ac:dyDescent="0.25">
      <c r="A10" t="s">
        <v>132</v>
      </c>
      <c r="B10" s="22">
        <f>B8/(1-B9)</f>
        <v>1217620.3319502075</v>
      </c>
      <c r="C10" s="15" t="s">
        <v>117</v>
      </c>
      <c r="D10" s="15" t="s">
        <v>37</v>
      </c>
    </row>
    <row r="11" spans="1:5" x14ac:dyDescent="0.25">
      <c r="A11" t="s">
        <v>131</v>
      </c>
      <c r="B11" s="18">
        <f>B10-B8</f>
        <v>630727.33195020747</v>
      </c>
      <c r="C11" s="15" t="s">
        <v>117</v>
      </c>
      <c r="D11" s="15"/>
    </row>
    <row r="12" spans="1:5" x14ac:dyDescent="0.25">
      <c r="B12" s="23"/>
      <c r="C12" s="15"/>
      <c r="D12" s="15"/>
    </row>
    <row r="13" spans="1:5" x14ac:dyDescent="0.25">
      <c r="B13" s="18"/>
      <c r="C13" s="15"/>
      <c r="D13" s="15"/>
    </row>
    <row r="14" spans="1:5" x14ac:dyDescent="0.25">
      <c r="B14" s="3"/>
      <c r="C14" s="15"/>
      <c r="D14" s="15"/>
    </row>
    <row r="15" spans="1:5" s="13" customFormat="1" x14ac:dyDescent="0.25">
      <c r="A15" s="17"/>
    </row>
    <row r="16" spans="1:5" ht="45" x14ac:dyDescent="0.25">
      <c r="A16" s="44" t="s">
        <v>32</v>
      </c>
      <c r="B16" s="44" t="s">
        <v>6</v>
      </c>
      <c r="C16" s="25" t="s">
        <v>92</v>
      </c>
      <c r="D16" s="25" t="s">
        <v>140</v>
      </c>
    </row>
    <row r="17" spans="1:6" x14ac:dyDescent="0.25">
      <c r="A17">
        <v>0</v>
      </c>
      <c r="B17">
        <v>2019</v>
      </c>
      <c r="C17" s="8">
        <v>0</v>
      </c>
    </row>
    <row r="18" spans="1:6" x14ac:dyDescent="0.25">
      <c r="A18">
        <f>A17+1</f>
        <v>1</v>
      </c>
      <c r="B18">
        <f>B17+1</f>
        <v>2020</v>
      </c>
      <c r="C18" s="8">
        <v>0</v>
      </c>
    </row>
    <row r="19" spans="1:6" x14ac:dyDescent="0.25">
      <c r="A19">
        <f t="shared" ref="A19:B34" si="0">A18+1</f>
        <v>2</v>
      </c>
      <c r="B19">
        <f>B18+1</f>
        <v>2021</v>
      </c>
      <c r="C19" s="8">
        <f>$B$11/3</f>
        <v>210242.44398340248</v>
      </c>
      <c r="D19" s="8">
        <f>$C19/((1+0.07)^$A19)</f>
        <v>183633.89290191498</v>
      </c>
    </row>
    <row r="20" spans="1:6" x14ac:dyDescent="0.25">
      <c r="A20">
        <f t="shared" si="0"/>
        <v>3</v>
      </c>
      <c r="B20">
        <f>B19+1</f>
        <v>2022</v>
      </c>
      <c r="C20" s="8">
        <f>$B$11/3</f>
        <v>210242.44398340248</v>
      </c>
      <c r="D20" s="8">
        <f t="shared" ref="D20:D37" si="1">$C20/((1+0.07)^$A20)</f>
        <v>171620.46065599532</v>
      </c>
    </row>
    <row r="21" spans="1:6" x14ac:dyDescent="0.25">
      <c r="A21">
        <f t="shared" si="0"/>
        <v>4</v>
      </c>
      <c r="B21">
        <f t="shared" si="0"/>
        <v>2023</v>
      </c>
      <c r="C21" s="8">
        <f>$B$11/3</f>
        <v>210242.44398340248</v>
      </c>
      <c r="D21" s="8">
        <f t="shared" si="1"/>
        <v>160392.95388410779</v>
      </c>
    </row>
    <row r="22" spans="1:6" x14ac:dyDescent="0.25">
      <c r="A22">
        <f t="shared" si="0"/>
        <v>5</v>
      </c>
      <c r="B22">
        <f t="shared" si="0"/>
        <v>2024</v>
      </c>
      <c r="C22" s="8">
        <v>0</v>
      </c>
      <c r="D22" s="8">
        <f t="shared" si="1"/>
        <v>0</v>
      </c>
    </row>
    <row r="23" spans="1:6" x14ac:dyDescent="0.25">
      <c r="A23">
        <f t="shared" si="0"/>
        <v>6</v>
      </c>
      <c r="B23">
        <f t="shared" si="0"/>
        <v>2025</v>
      </c>
      <c r="C23" s="8">
        <v>0</v>
      </c>
      <c r="D23" s="8">
        <f t="shared" si="1"/>
        <v>0</v>
      </c>
    </row>
    <row r="24" spans="1:6" x14ac:dyDescent="0.25">
      <c r="A24">
        <f t="shared" si="0"/>
        <v>7</v>
      </c>
      <c r="B24">
        <f t="shared" si="0"/>
        <v>2026</v>
      </c>
      <c r="C24" s="8">
        <v>0</v>
      </c>
      <c r="D24" s="8">
        <f t="shared" si="1"/>
        <v>0</v>
      </c>
    </row>
    <row r="25" spans="1:6" x14ac:dyDescent="0.25">
      <c r="A25">
        <f t="shared" si="0"/>
        <v>8</v>
      </c>
      <c r="B25">
        <f t="shared" si="0"/>
        <v>2027</v>
      </c>
      <c r="C25" s="8">
        <v>0</v>
      </c>
      <c r="D25" s="8">
        <f t="shared" si="1"/>
        <v>0</v>
      </c>
    </row>
    <row r="26" spans="1:6" x14ac:dyDescent="0.25">
      <c r="A26">
        <f t="shared" si="0"/>
        <v>9</v>
      </c>
      <c r="B26">
        <f t="shared" si="0"/>
        <v>2028</v>
      </c>
      <c r="C26" s="8">
        <v>0</v>
      </c>
      <c r="D26" s="8">
        <f t="shared" si="1"/>
        <v>0</v>
      </c>
    </row>
    <row r="27" spans="1:6" x14ac:dyDescent="0.25">
      <c r="A27">
        <f t="shared" si="0"/>
        <v>10</v>
      </c>
      <c r="B27">
        <f t="shared" si="0"/>
        <v>2029</v>
      </c>
      <c r="C27" s="8">
        <v>0</v>
      </c>
      <c r="D27" s="8">
        <f t="shared" si="1"/>
        <v>0</v>
      </c>
    </row>
    <row r="28" spans="1:6" x14ac:dyDescent="0.25">
      <c r="A28">
        <f t="shared" si="0"/>
        <v>11</v>
      </c>
      <c r="B28">
        <f t="shared" si="0"/>
        <v>2030</v>
      </c>
      <c r="C28" s="8">
        <v>0</v>
      </c>
      <c r="D28" s="8">
        <f t="shared" si="1"/>
        <v>0</v>
      </c>
    </row>
    <row r="29" spans="1:6" x14ac:dyDescent="0.25">
      <c r="A29">
        <f t="shared" si="0"/>
        <v>12</v>
      </c>
      <c r="B29">
        <f t="shared" si="0"/>
        <v>2031</v>
      </c>
      <c r="C29" s="8">
        <v>0</v>
      </c>
      <c r="D29" s="8">
        <f t="shared" si="1"/>
        <v>0</v>
      </c>
      <c r="F29" s="1" t="s">
        <v>187</v>
      </c>
    </row>
    <row r="30" spans="1:6" x14ac:dyDescent="0.25">
      <c r="A30">
        <f t="shared" si="0"/>
        <v>13</v>
      </c>
      <c r="B30">
        <f t="shared" si="0"/>
        <v>2032</v>
      </c>
      <c r="C30" s="8">
        <v>0</v>
      </c>
      <c r="D30" s="8">
        <f t="shared" si="1"/>
        <v>0</v>
      </c>
      <c r="F30" s="8">
        <f>D38+'calcs-PropertyValuesRoute200'!D40</f>
        <v>3243860.9868788961</v>
      </c>
    </row>
    <row r="31" spans="1:6" x14ac:dyDescent="0.25">
      <c r="A31">
        <f t="shared" si="0"/>
        <v>14</v>
      </c>
      <c r="B31">
        <f t="shared" si="0"/>
        <v>2033</v>
      </c>
      <c r="C31" s="8">
        <v>0</v>
      </c>
      <c r="D31" s="8">
        <f t="shared" si="1"/>
        <v>0</v>
      </c>
    </row>
    <row r="32" spans="1:6" x14ac:dyDescent="0.25">
      <c r="A32">
        <f t="shared" si="0"/>
        <v>15</v>
      </c>
      <c r="B32">
        <f t="shared" si="0"/>
        <v>2034</v>
      </c>
      <c r="C32" s="8">
        <v>0</v>
      </c>
      <c r="D32" s="8">
        <f t="shared" si="1"/>
        <v>0</v>
      </c>
    </row>
    <row r="33" spans="1:4" x14ac:dyDescent="0.25">
      <c r="A33">
        <f t="shared" si="0"/>
        <v>16</v>
      </c>
      <c r="B33">
        <f t="shared" si="0"/>
        <v>2035</v>
      </c>
      <c r="C33" s="8">
        <v>0</v>
      </c>
      <c r="D33" s="8">
        <f t="shared" si="1"/>
        <v>0</v>
      </c>
    </row>
    <row r="34" spans="1:4" x14ac:dyDescent="0.25">
      <c r="A34">
        <f t="shared" si="0"/>
        <v>17</v>
      </c>
      <c r="B34">
        <f t="shared" si="0"/>
        <v>2036</v>
      </c>
      <c r="C34" s="8">
        <v>0</v>
      </c>
      <c r="D34" s="8">
        <f t="shared" si="1"/>
        <v>0</v>
      </c>
    </row>
    <row r="35" spans="1:4" x14ac:dyDescent="0.25">
      <c r="A35">
        <f t="shared" ref="A35:B37" si="2">A34+1</f>
        <v>18</v>
      </c>
      <c r="B35">
        <f t="shared" si="2"/>
        <v>2037</v>
      </c>
      <c r="C35" s="8">
        <v>0</v>
      </c>
      <c r="D35" s="8">
        <f t="shared" si="1"/>
        <v>0</v>
      </c>
    </row>
    <row r="36" spans="1:4" x14ac:dyDescent="0.25">
      <c r="A36">
        <f t="shared" si="2"/>
        <v>19</v>
      </c>
      <c r="B36">
        <f t="shared" si="2"/>
        <v>2038</v>
      </c>
      <c r="C36" s="8">
        <v>0</v>
      </c>
      <c r="D36" s="8">
        <f t="shared" si="1"/>
        <v>0</v>
      </c>
    </row>
    <row r="37" spans="1:4" x14ac:dyDescent="0.25">
      <c r="A37">
        <f t="shared" si="2"/>
        <v>20</v>
      </c>
      <c r="B37">
        <f t="shared" si="2"/>
        <v>2039</v>
      </c>
      <c r="C37" s="8">
        <v>0</v>
      </c>
      <c r="D37" s="8">
        <f t="shared" si="1"/>
        <v>0</v>
      </c>
    </row>
    <row r="38" spans="1:4" x14ac:dyDescent="0.25">
      <c r="C38" s="11" t="s">
        <v>10</v>
      </c>
      <c r="D38" s="12">
        <f>SUM(D19:D37)</f>
        <v>515647.30744201806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7"/>
  <sheetViews>
    <sheetView zoomScale="85" zoomScaleNormal="85" workbookViewId="0">
      <selection activeCell="G32" sqref="G32"/>
    </sheetView>
  </sheetViews>
  <sheetFormatPr defaultRowHeight="15" x14ac:dyDescent="0.25"/>
  <cols>
    <col min="1" max="1" width="63.140625" customWidth="1"/>
    <col min="2" max="4" width="35" customWidth="1"/>
    <col min="5" max="5" width="34.5703125" customWidth="1"/>
    <col min="6" max="6" width="19.5703125" customWidth="1"/>
    <col min="7" max="7" width="21.5703125" customWidth="1"/>
  </cols>
  <sheetData>
    <row r="1" spans="1:6" x14ac:dyDescent="0.25">
      <c r="A1" s="37" t="s">
        <v>156</v>
      </c>
    </row>
    <row r="2" spans="1:6" x14ac:dyDescent="0.25">
      <c r="B2" s="37" t="s">
        <v>0</v>
      </c>
      <c r="C2" s="37" t="s">
        <v>4</v>
      </c>
      <c r="D2" s="37" t="s">
        <v>1</v>
      </c>
    </row>
    <row r="3" spans="1:6" x14ac:dyDescent="0.25">
      <c r="A3" s="13" t="s">
        <v>58</v>
      </c>
      <c r="B3" s="43">
        <f>'calculations-GHG'!B5</f>
        <v>1032</v>
      </c>
      <c r="C3" s="43" t="str">
        <f>'calculations-GHG'!C5</f>
        <v>people</v>
      </c>
      <c r="D3" s="43" t="str">
        <f>'calculations-GHG'!D5</f>
        <v xml:space="preserve">U.S. Department of Commerce. 2018. Census Bureau, American Community Survey Office, Washington, D.C.; </v>
      </c>
    </row>
    <row r="4" spans="1:6" x14ac:dyDescent="0.25">
      <c r="A4" s="13" t="s">
        <v>64</v>
      </c>
      <c r="B4" s="76">
        <v>0.22</v>
      </c>
      <c r="C4" s="43" t="s">
        <v>59</v>
      </c>
      <c r="D4" s="73" t="s">
        <v>173</v>
      </c>
    </row>
    <row r="5" spans="1:6" x14ac:dyDescent="0.25">
      <c r="A5" s="13" t="s">
        <v>73</v>
      </c>
      <c r="B5" s="76">
        <v>0.57699999999999996</v>
      </c>
      <c r="C5" s="43" t="s">
        <v>59</v>
      </c>
      <c r="D5" s="43" t="s">
        <v>60</v>
      </c>
    </row>
    <row r="6" spans="1:6" x14ac:dyDescent="0.25">
      <c r="A6" s="13" t="s">
        <v>63</v>
      </c>
      <c r="B6" s="77">
        <f>B3*B4*B5</f>
        <v>131.00207999999998</v>
      </c>
      <c r="C6" s="43" t="s">
        <v>17</v>
      </c>
      <c r="D6" s="43" t="s">
        <v>37</v>
      </c>
    </row>
    <row r="7" spans="1:6" x14ac:dyDescent="0.25">
      <c r="A7" s="13" t="s">
        <v>62</v>
      </c>
      <c r="B7" s="43">
        <v>3</v>
      </c>
      <c r="C7" s="43" t="s">
        <v>61</v>
      </c>
      <c r="D7" s="43" t="s">
        <v>74</v>
      </c>
    </row>
    <row r="8" spans="1:6" x14ac:dyDescent="0.25">
      <c r="A8" s="13" t="s">
        <v>67</v>
      </c>
      <c r="B8" s="43">
        <v>849.3</v>
      </c>
      <c r="C8" s="43" t="s">
        <v>66</v>
      </c>
      <c r="D8" s="73" t="s">
        <v>65</v>
      </c>
      <c r="F8" s="38" t="s">
        <v>176</v>
      </c>
    </row>
    <row r="9" spans="1:6" x14ac:dyDescent="0.25">
      <c r="A9" s="13" t="s">
        <v>68</v>
      </c>
      <c r="B9" s="42">
        <v>9600000</v>
      </c>
      <c r="C9" s="43" t="s">
        <v>117</v>
      </c>
      <c r="D9" s="73" t="s">
        <v>164</v>
      </c>
    </row>
    <row r="10" spans="1:6" x14ac:dyDescent="0.25">
      <c r="A10" s="13" t="s">
        <v>165</v>
      </c>
      <c r="B10" s="78">
        <f>Assumptions!B27</f>
        <v>1.0309999999999999</v>
      </c>
      <c r="C10" s="43" t="s">
        <v>117</v>
      </c>
      <c r="D10" s="73" t="s">
        <v>166</v>
      </c>
    </row>
    <row r="11" spans="1:6" x14ac:dyDescent="0.25">
      <c r="A11" s="13" t="s">
        <v>70</v>
      </c>
      <c r="B11" s="79">
        <v>0.04</v>
      </c>
      <c r="C11" s="43"/>
      <c r="D11" s="43" t="s">
        <v>72</v>
      </c>
    </row>
    <row r="12" spans="1:6" x14ac:dyDescent="0.25">
      <c r="A12" s="13" t="s">
        <v>71</v>
      </c>
      <c r="B12" s="42"/>
      <c r="C12" s="43" t="s">
        <v>69</v>
      </c>
      <c r="D12" s="43" t="s">
        <v>72</v>
      </c>
    </row>
    <row r="13" spans="1:6" x14ac:dyDescent="0.25">
      <c r="A13" s="13" t="s">
        <v>71</v>
      </c>
      <c r="B13" s="42">
        <v>1270000</v>
      </c>
      <c r="C13" s="43" t="s">
        <v>117</v>
      </c>
      <c r="D13" s="43" t="s">
        <v>72</v>
      </c>
    </row>
    <row r="14" spans="1:6" s="13" customFormat="1" x14ac:dyDescent="0.25">
      <c r="A14" s="17" t="s">
        <v>76</v>
      </c>
    </row>
    <row r="15" spans="1:6" ht="60" x14ac:dyDescent="0.25">
      <c r="A15" s="44" t="s">
        <v>32</v>
      </c>
      <c r="B15" s="44" t="s">
        <v>6</v>
      </c>
      <c r="C15" s="25" t="s">
        <v>143</v>
      </c>
      <c r="D15" s="25" t="s">
        <v>142</v>
      </c>
    </row>
    <row r="16" spans="1:6" x14ac:dyDescent="0.25">
      <c r="A16">
        <v>0</v>
      </c>
      <c r="B16">
        <v>2019</v>
      </c>
      <c r="C16">
        <v>0</v>
      </c>
    </row>
    <row r="17" spans="1:10" x14ac:dyDescent="0.25">
      <c r="A17">
        <f>A16+1</f>
        <v>1</v>
      </c>
      <c r="B17">
        <f>B16+1</f>
        <v>2020</v>
      </c>
      <c r="C17">
        <v>0</v>
      </c>
    </row>
    <row r="18" spans="1:10" x14ac:dyDescent="0.25">
      <c r="A18">
        <f t="shared" ref="A18:B36" si="0">A17+1</f>
        <v>2</v>
      </c>
      <c r="B18">
        <f>B17+1</f>
        <v>2021</v>
      </c>
      <c r="C18" s="8">
        <f>$B$13</f>
        <v>1270000</v>
      </c>
      <c r="D18" s="8">
        <f>$C18/((1+0.07)^$A18)</f>
        <v>1109267.1849069789</v>
      </c>
    </row>
    <row r="19" spans="1:10" x14ac:dyDescent="0.25">
      <c r="A19">
        <f t="shared" si="0"/>
        <v>3</v>
      </c>
      <c r="B19">
        <f>B18+1</f>
        <v>2022</v>
      </c>
      <c r="C19" s="8">
        <f t="shared" ref="C19:C36" si="1">$B$13</f>
        <v>1270000</v>
      </c>
      <c r="D19" s="8">
        <f t="shared" ref="D19:D36" si="2">$C19/((1+0.07)^$A19)</f>
        <v>1036698.303651382</v>
      </c>
      <c r="F19" s="66"/>
      <c r="G19" s="66"/>
      <c r="H19" s="66"/>
      <c r="I19" s="66"/>
      <c r="J19" s="66"/>
    </row>
    <row r="20" spans="1:10" x14ac:dyDescent="0.25">
      <c r="A20">
        <f t="shared" si="0"/>
        <v>4</v>
      </c>
      <c r="B20">
        <f t="shared" si="0"/>
        <v>2023</v>
      </c>
      <c r="C20" s="8">
        <f t="shared" si="1"/>
        <v>1270000</v>
      </c>
      <c r="D20" s="8">
        <f t="shared" si="2"/>
        <v>968876.919300357</v>
      </c>
      <c r="F20" s="66"/>
      <c r="G20" s="66"/>
      <c r="H20" s="66"/>
      <c r="I20" s="66"/>
      <c r="J20" s="66"/>
    </row>
    <row r="21" spans="1:10" x14ac:dyDescent="0.25">
      <c r="A21">
        <f t="shared" si="0"/>
        <v>5</v>
      </c>
      <c r="B21">
        <f t="shared" si="0"/>
        <v>2024</v>
      </c>
      <c r="C21" s="8">
        <f t="shared" si="1"/>
        <v>1270000</v>
      </c>
      <c r="D21" s="8">
        <f t="shared" si="2"/>
        <v>905492.44794425881</v>
      </c>
      <c r="F21" s="66"/>
      <c r="G21" s="66"/>
      <c r="H21" s="66"/>
      <c r="I21" s="66"/>
      <c r="J21" s="66"/>
    </row>
    <row r="22" spans="1:10" x14ac:dyDescent="0.25">
      <c r="A22">
        <f t="shared" si="0"/>
        <v>6</v>
      </c>
      <c r="B22">
        <f t="shared" si="0"/>
        <v>2025</v>
      </c>
      <c r="C22" s="8">
        <f t="shared" si="1"/>
        <v>1270000</v>
      </c>
      <c r="D22" s="8">
        <f t="shared" si="2"/>
        <v>846254.62424697087</v>
      </c>
      <c r="F22" s="66"/>
      <c r="G22" s="66"/>
      <c r="H22" s="66"/>
      <c r="I22" s="66"/>
      <c r="J22" s="66"/>
    </row>
    <row r="23" spans="1:10" x14ac:dyDescent="0.25">
      <c r="A23">
        <f t="shared" si="0"/>
        <v>7</v>
      </c>
      <c r="B23">
        <f t="shared" si="0"/>
        <v>2026</v>
      </c>
      <c r="C23" s="8">
        <f t="shared" si="1"/>
        <v>1270000</v>
      </c>
      <c r="D23" s="8">
        <f t="shared" si="2"/>
        <v>790892.17219343071</v>
      </c>
    </row>
    <row r="24" spans="1:10" x14ac:dyDescent="0.25">
      <c r="A24">
        <f t="shared" si="0"/>
        <v>8</v>
      </c>
      <c r="B24">
        <f t="shared" si="0"/>
        <v>2027</v>
      </c>
      <c r="C24" s="8">
        <f t="shared" si="1"/>
        <v>1270000</v>
      </c>
      <c r="D24" s="8">
        <f t="shared" si="2"/>
        <v>739151.56279759877</v>
      </c>
    </row>
    <row r="25" spans="1:10" x14ac:dyDescent="0.25">
      <c r="A25">
        <f t="shared" si="0"/>
        <v>9</v>
      </c>
      <c r="B25">
        <f t="shared" si="0"/>
        <v>2028</v>
      </c>
      <c r="C25" s="8">
        <f t="shared" si="1"/>
        <v>1270000</v>
      </c>
      <c r="D25" s="8">
        <f t="shared" si="2"/>
        <v>690795.85308186791</v>
      </c>
    </row>
    <row r="26" spans="1:10" x14ac:dyDescent="0.25">
      <c r="A26">
        <f t="shared" si="0"/>
        <v>10</v>
      </c>
      <c r="B26">
        <f t="shared" si="0"/>
        <v>2029</v>
      </c>
      <c r="C26" s="8">
        <f t="shared" si="1"/>
        <v>1270000</v>
      </c>
      <c r="D26" s="8">
        <f t="shared" si="2"/>
        <v>645603.60101109161</v>
      </c>
    </row>
    <row r="27" spans="1:10" x14ac:dyDescent="0.25">
      <c r="A27">
        <f t="shared" si="0"/>
        <v>11</v>
      </c>
      <c r="B27">
        <f t="shared" si="0"/>
        <v>2030</v>
      </c>
      <c r="C27" s="8">
        <f t="shared" si="1"/>
        <v>1270000</v>
      </c>
      <c r="D27" s="8">
        <f t="shared" si="2"/>
        <v>603367.85141223506</v>
      </c>
    </row>
    <row r="28" spans="1:10" x14ac:dyDescent="0.25">
      <c r="A28">
        <f t="shared" si="0"/>
        <v>12</v>
      </c>
      <c r="B28">
        <f t="shared" si="0"/>
        <v>2031</v>
      </c>
      <c r="C28" s="8">
        <f t="shared" si="1"/>
        <v>1270000</v>
      </c>
      <c r="D28" s="8">
        <f t="shared" si="2"/>
        <v>563895.18823573377</v>
      </c>
    </row>
    <row r="29" spans="1:10" x14ac:dyDescent="0.25">
      <c r="A29">
        <f t="shared" si="0"/>
        <v>13</v>
      </c>
      <c r="B29">
        <f t="shared" si="0"/>
        <v>2032</v>
      </c>
      <c r="C29" s="8">
        <f t="shared" si="1"/>
        <v>1270000</v>
      </c>
      <c r="D29" s="8">
        <f t="shared" si="2"/>
        <v>527004.84881844278</v>
      </c>
    </row>
    <row r="30" spans="1:10" x14ac:dyDescent="0.25">
      <c r="A30">
        <f t="shared" si="0"/>
        <v>14</v>
      </c>
      <c r="B30">
        <f t="shared" si="0"/>
        <v>2033</v>
      </c>
      <c r="C30" s="8">
        <f t="shared" si="1"/>
        <v>1270000</v>
      </c>
      <c r="D30" s="8">
        <f t="shared" si="2"/>
        <v>492527.89609200263</v>
      </c>
    </row>
    <row r="31" spans="1:10" x14ac:dyDescent="0.25">
      <c r="A31">
        <f t="shared" si="0"/>
        <v>15</v>
      </c>
      <c r="B31">
        <f t="shared" si="0"/>
        <v>2034</v>
      </c>
      <c r="C31" s="8">
        <f t="shared" si="1"/>
        <v>1270000</v>
      </c>
      <c r="D31" s="8">
        <f t="shared" si="2"/>
        <v>460306.4449457968</v>
      </c>
    </row>
    <row r="32" spans="1:10" x14ac:dyDescent="0.25">
      <c r="A32">
        <f t="shared" si="0"/>
        <v>16</v>
      </c>
      <c r="B32">
        <f t="shared" si="0"/>
        <v>2035</v>
      </c>
      <c r="C32" s="8">
        <f t="shared" si="1"/>
        <v>1270000</v>
      </c>
      <c r="D32" s="8">
        <f t="shared" si="2"/>
        <v>430192.93920167931</v>
      </c>
    </row>
    <row r="33" spans="1:4" x14ac:dyDescent="0.25">
      <c r="A33">
        <f t="shared" si="0"/>
        <v>17</v>
      </c>
      <c r="B33">
        <f t="shared" si="0"/>
        <v>2036</v>
      </c>
      <c r="C33" s="8">
        <f t="shared" si="1"/>
        <v>1270000</v>
      </c>
      <c r="D33" s="8">
        <f t="shared" si="2"/>
        <v>402049.4758894199</v>
      </c>
    </row>
    <row r="34" spans="1:4" x14ac:dyDescent="0.25">
      <c r="A34">
        <f t="shared" si="0"/>
        <v>18</v>
      </c>
      <c r="B34">
        <f t="shared" si="0"/>
        <v>2037</v>
      </c>
      <c r="C34" s="8">
        <f t="shared" si="1"/>
        <v>1270000</v>
      </c>
      <c r="D34" s="8">
        <f t="shared" si="2"/>
        <v>375747.17372842983</v>
      </c>
    </row>
    <row r="35" spans="1:4" x14ac:dyDescent="0.25">
      <c r="A35">
        <f t="shared" si="0"/>
        <v>19</v>
      </c>
      <c r="B35">
        <f t="shared" si="0"/>
        <v>2038</v>
      </c>
      <c r="C35" s="8">
        <f t="shared" si="1"/>
        <v>1270000</v>
      </c>
      <c r="D35" s="8">
        <f t="shared" si="2"/>
        <v>351165.58292376617</v>
      </c>
    </row>
    <row r="36" spans="1:4" x14ac:dyDescent="0.25">
      <c r="A36">
        <f t="shared" si="0"/>
        <v>20</v>
      </c>
      <c r="B36">
        <f t="shared" si="0"/>
        <v>2039</v>
      </c>
      <c r="C36" s="8">
        <f t="shared" si="1"/>
        <v>1270000</v>
      </c>
      <c r="D36" s="8">
        <f t="shared" si="2"/>
        <v>328192.13357361325</v>
      </c>
    </row>
    <row r="37" spans="1:4" x14ac:dyDescent="0.25">
      <c r="C37" s="11" t="s">
        <v>10</v>
      </c>
      <c r="D37" s="12">
        <f>SUM(D18:D36)</f>
        <v>12267482.20395506</v>
      </c>
    </row>
  </sheetData>
  <hyperlinks>
    <hyperlink ref="D9" r:id="rId1" xr:uid="{370F8BF3-9C0E-42EE-8622-2C9B691A6957}"/>
    <hyperlink ref="D10" r:id="rId2" xr:uid="{C1C4EE92-DDF3-41CF-86AC-BB3D0DBBB2C8}"/>
    <hyperlink ref="D4" r:id="rId3" xr:uid="{0CD0F23C-8BAC-48D9-AECA-40C7058F156B}"/>
    <hyperlink ref="D8" r:id="rId4" xr:uid="{363CA8F3-E5C5-46E0-86B6-1AE4B3520D17}"/>
    <hyperlink ref="F8" r:id="rId5" xr:uid="{E9A0BBC0-80E5-4E9B-8850-CCEE60DC5BED}"/>
  </hyperlinks>
  <pageMargins left="0.7" right="0.7" top="0.75" bottom="0.75" header="0.3" footer="0.3"/>
  <pageSetup orientation="portrait" r:id="rId6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39"/>
  <sheetViews>
    <sheetView zoomScale="85" zoomScaleNormal="85" workbookViewId="0">
      <selection activeCell="F13" sqref="F13"/>
    </sheetView>
  </sheetViews>
  <sheetFormatPr defaultRowHeight="15" x14ac:dyDescent="0.25"/>
  <cols>
    <col min="1" max="1" width="45.28515625" customWidth="1"/>
    <col min="2" max="2" width="12.42578125" bestFit="1" customWidth="1"/>
    <col min="3" max="3" width="36.140625" customWidth="1"/>
    <col min="4" max="4" width="37.5703125" customWidth="1"/>
    <col min="5" max="5" width="28.85546875" bestFit="1" customWidth="1"/>
    <col min="6" max="6" width="29.7109375" bestFit="1" customWidth="1"/>
    <col min="7" max="7" width="12.85546875" bestFit="1" customWidth="1"/>
    <col min="8" max="10" width="15.42578125" customWidth="1"/>
    <col min="11" max="11" width="20" customWidth="1"/>
    <col min="12" max="12" width="21.140625" customWidth="1"/>
    <col min="13" max="13" width="23.5703125" customWidth="1"/>
  </cols>
  <sheetData>
    <row r="1" spans="1:12" x14ac:dyDescent="0.25">
      <c r="A1" s="37" t="s">
        <v>156</v>
      </c>
      <c r="F1" s="1"/>
      <c r="I1" s="1"/>
      <c r="L1" s="1"/>
    </row>
    <row r="2" spans="1:12" x14ac:dyDescent="0.25">
      <c r="B2" s="37" t="s">
        <v>0</v>
      </c>
      <c r="C2" s="37" t="s">
        <v>4</v>
      </c>
      <c r="D2" s="37" t="s">
        <v>1</v>
      </c>
    </row>
    <row r="3" spans="1:12" x14ac:dyDescent="0.25">
      <c r="A3" s="13" t="s">
        <v>171</v>
      </c>
      <c r="B3" s="13">
        <v>484</v>
      </c>
      <c r="C3" s="13" t="s">
        <v>17</v>
      </c>
      <c r="D3" s="13" t="s">
        <v>172</v>
      </c>
    </row>
    <row r="4" spans="1:12" ht="15" customHeight="1" x14ac:dyDescent="0.25">
      <c r="A4" s="13" t="s">
        <v>33</v>
      </c>
      <c r="B4" s="13">
        <v>638</v>
      </c>
      <c r="C4" s="13" t="s">
        <v>17</v>
      </c>
      <c r="D4" s="13" t="s">
        <v>34</v>
      </c>
    </row>
    <row r="5" spans="1:12" ht="15" customHeight="1" x14ac:dyDescent="0.25">
      <c r="A5" s="13" t="s">
        <v>186</v>
      </c>
      <c r="B5" s="13">
        <v>1032</v>
      </c>
      <c r="C5" s="13" t="s">
        <v>17</v>
      </c>
      <c r="D5" s="13" t="s">
        <v>168</v>
      </c>
    </row>
    <row r="6" spans="1:12" ht="15" customHeight="1" x14ac:dyDescent="0.25">
      <c r="A6" s="13" t="s">
        <v>35</v>
      </c>
      <c r="B6" s="79">
        <f>(B5/B4-1)/(2017-2000)</f>
        <v>3.6326756407892312E-2</v>
      </c>
      <c r="C6" s="13" t="s">
        <v>36</v>
      </c>
      <c r="D6" s="13" t="s">
        <v>37</v>
      </c>
    </row>
    <row r="7" spans="1:12" ht="15" customHeight="1" x14ac:dyDescent="0.25">
      <c r="A7" s="13" t="s">
        <v>38</v>
      </c>
      <c r="B7" s="80">
        <f>B3*(1+B6)^(2019-2015)</f>
        <v>558.25446612006317</v>
      </c>
      <c r="C7" s="13" t="s">
        <v>17</v>
      </c>
      <c r="D7" s="13" t="s">
        <v>37</v>
      </c>
    </row>
    <row r="8" spans="1:12" x14ac:dyDescent="0.25">
      <c r="A8" s="13" t="s">
        <v>18</v>
      </c>
      <c r="B8" s="79">
        <v>3.1E-2</v>
      </c>
      <c r="C8" s="13" t="s">
        <v>19</v>
      </c>
      <c r="D8" s="13" t="s">
        <v>16</v>
      </c>
    </row>
    <row r="9" spans="1:12" x14ac:dyDescent="0.25">
      <c r="A9" s="13" t="s">
        <v>49</v>
      </c>
      <c r="B9" s="76">
        <v>3.3000000000000002E-2</v>
      </c>
      <c r="C9" s="13" t="s">
        <v>19</v>
      </c>
      <c r="D9" s="13" t="s">
        <v>31</v>
      </c>
      <c r="E9" t="s">
        <v>158</v>
      </c>
    </row>
    <row r="10" spans="1:12" x14ac:dyDescent="0.25">
      <c r="A10" s="13" t="s">
        <v>27</v>
      </c>
      <c r="B10" s="13">
        <v>3</v>
      </c>
      <c r="C10" s="13" t="s">
        <v>25</v>
      </c>
      <c r="D10" s="13" t="s">
        <v>26</v>
      </c>
    </row>
    <row r="11" spans="1:12" x14ac:dyDescent="0.25">
      <c r="A11" s="13" t="s">
        <v>20</v>
      </c>
      <c r="B11" s="13">
        <v>250</v>
      </c>
      <c r="C11" s="13" t="s">
        <v>15</v>
      </c>
      <c r="D11" s="13" t="s">
        <v>50</v>
      </c>
    </row>
    <row r="12" spans="1:12" x14ac:dyDescent="0.25">
      <c r="A12" s="13" t="s">
        <v>21</v>
      </c>
      <c r="B12" s="13">
        <f>ROUND(B11*7/12,0)</f>
        <v>146</v>
      </c>
      <c r="C12" s="13" t="s">
        <v>15</v>
      </c>
      <c r="D12" s="13" t="s">
        <v>22</v>
      </c>
    </row>
    <row r="13" spans="1:12" x14ac:dyDescent="0.25">
      <c r="A13" s="13" t="s">
        <v>28</v>
      </c>
      <c r="B13" s="81">
        <f>Assumptions!B4</f>
        <v>7</v>
      </c>
      <c r="C13" s="13" t="s">
        <v>75</v>
      </c>
      <c r="D13" s="13" t="s">
        <v>29</v>
      </c>
    </row>
    <row r="14" spans="1:12" x14ac:dyDescent="0.25">
      <c r="A14" s="13" t="s">
        <v>46</v>
      </c>
      <c r="B14" s="82">
        <f>Assumptions!B5</f>
        <v>22</v>
      </c>
      <c r="C14" s="13" t="s">
        <v>24</v>
      </c>
      <c r="D14" s="73" t="s">
        <v>163</v>
      </c>
    </row>
    <row r="15" spans="1:12" x14ac:dyDescent="0.25">
      <c r="A15" s="13" t="s">
        <v>47</v>
      </c>
      <c r="B15" s="82">
        <f>Assumptions!B6</f>
        <v>8.9999999999999993E-3</v>
      </c>
      <c r="C15" s="13" t="s">
        <v>13</v>
      </c>
      <c r="D15" s="13" t="str">
        <f>Assumptions!D6</f>
        <v>https://www.transportation.gov/sites/dot.gov/files/docs/mission/office-policy/transportation-policy/14091/benefit-cost-analysis-guidance-2018.pdf</v>
      </c>
    </row>
    <row r="16" spans="1:12" x14ac:dyDescent="0.25">
      <c r="A16" s="13" t="s">
        <v>144</v>
      </c>
      <c r="B16" s="83">
        <f>Assumptions!B27</f>
        <v>1.0309999999999999</v>
      </c>
      <c r="C16" s="13" t="s">
        <v>117</v>
      </c>
      <c r="D16" s="13"/>
    </row>
    <row r="17" spans="1:12" ht="75" x14ac:dyDescent="0.25">
      <c r="A17" s="44" t="s">
        <v>32</v>
      </c>
      <c r="B17" s="44" t="s">
        <v>6</v>
      </c>
      <c r="C17" s="44" t="s">
        <v>39</v>
      </c>
      <c r="D17" s="44" t="s">
        <v>40</v>
      </c>
      <c r="E17" s="44" t="s">
        <v>41</v>
      </c>
      <c r="F17" s="44" t="s">
        <v>42</v>
      </c>
      <c r="G17" s="44" t="s">
        <v>43</v>
      </c>
      <c r="H17" s="44" t="s">
        <v>45</v>
      </c>
      <c r="I17" s="25" t="s">
        <v>48</v>
      </c>
      <c r="J17" s="46" t="s">
        <v>145</v>
      </c>
      <c r="K17" s="25" t="s">
        <v>146</v>
      </c>
      <c r="L17" s="25" t="s">
        <v>147</v>
      </c>
    </row>
    <row r="18" spans="1:12" x14ac:dyDescent="0.25">
      <c r="A18">
        <v>0</v>
      </c>
      <c r="B18">
        <v>2019</v>
      </c>
      <c r="I18" s="10"/>
      <c r="J18" s="9"/>
      <c r="K18" s="10"/>
      <c r="L18" s="10"/>
    </row>
    <row r="19" spans="1:12" x14ac:dyDescent="0.25">
      <c r="A19">
        <f>A18+1</f>
        <v>1</v>
      </c>
      <c r="B19">
        <f>B18+1</f>
        <v>2020</v>
      </c>
      <c r="I19" s="10"/>
      <c r="J19" s="9"/>
      <c r="K19" s="10"/>
      <c r="L19" s="10"/>
    </row>
    <row r="20" spans="1:12" ht="15" customHeight="1" x14ac:dyDescent="0.25">
      <c r="A20">
        <f t="shared" ref="A20:A38" si="0">A19+1</f>
        <v>2</v>
      </c>
      <c r="B20">
        <f>B19+1</f>
        <v>2021</v>
      </c>
      <c r="C20" s="5">
        <f>B7</f>
        <v>558.25446612006317</v>
      </c>
      <c r="D20" s="5">
        <f t="shared" ref="D20:D38" si="1">C20*$B$9</f>
        <v>18.422397381962085</v>
      </c>
      <c r="E20" s="5">
        <f t="shared" ref="E20:E38" si="2">D20*$B$10</f>
        <v>55.267192145886256</v>
      </c>
      <c r="F20" s="4">
        <f t="shared" ref="F20:F38" si="3">E20*$B$12</f>
        <v>8069.0100532993929</v>
      </c>
      <c r="G20" s="6">
        <f t="shared" ref="G20:G38" si="4">$B$13*F20</f>
        <v>56483.070373095747</v>
      </c>
      <c r="H20" s="4">
        <f t="shared" ref="H20:H38" si="5">G20/$B$14</f>
        <v>2567.4122896861704</v>
      </c>
      <c r="I20" s="7">
        <f t="shared" ref="I20:I38" si="6">H20*$B$15</f>
        <v>23.106710607175533</v>
      </c>
      <c r="J20" s="8">
        <f>Assumptions!B7*$B$16</f>
        <v>1.0309999999999999</v>
      </c>
      <c r="K20" s="8">
        <f>I20*J20</f>
        <v>23.823018635997972</v>
      </c>
      <c r="L20" s="8">
        <f>$K20/((1+0.07)^$A20)</f>
        <v>20.807947101055088</v>
      </c>
    </row>
    <row r="21" spans="1:12" x14ac:dyDescent="0.25">
      <c r="A21">
        <f t="shared" si="0"/>
        <v>3</v>
      </c>
      <c r="B21">
        <f>B20+1</f>
        <v>2022</v>
      </c>
      <c r="C21" s="5">
        <f t="shared" ref="C21:C38" si="7">C20*(1+$B$6)</f>
        <v>578.53404012442468</v>
      </c>
      <c r="D21" s="5">
        <f t="shared" si="1"/>
        <v>19.091623324106017</v>
      </c>
      <c r="E21" s="5">
        <f t="shared" si="2"/>
        <v>57.274869972318051</v>
      </c>
      <c r="F21" s="4">
        <f t="shared" si="3"/>
        <v>8362.1310159584355</v>
      </c>
      <c r="G21" s="6">
        <f t="shared" si="4"/>
        <v>58534.917111709045</v>
      </c>
      <c r="H21" s="4">
        <f t="shared" si="5"/>
        <v>2660.6780505322295</v>
      </c>
      <c r="I21" s="7">
        <f t="shared" si="6"/>
        <v>23.946102454790065</v>
      </c>
      <c r="J21" s="8">
        <f>Assumptions!B8*$B$16</f>
        <v>1.0309999999999999</v>
      </c>
      <c r="K21" s="8">
        <f t="shared" ref="K21:K38" si="8">I21*J21</f>
        <v>24.688431630888555</v>
      </c>
      <c r="L21" s="8">
        <f t="shared" ref="L21:L38" si="9">$K21/((1+0.07)^$A21)</f>
        <v>20.153114324059281</v>
      </c>
    </row>
    <row r="22" spans="1:12" x14ac:dyDescent="0.25">
      <c r="A22">
        <f t="shared" si="0"/>
        <v>4</v>
      </c>
      <c r="B22">
        <f t="shared" ref="B22:B38" si="10">B21+1</f>
        <v>2023</v>
      </c>
      <c r="C22" s="5">
        <f t="shared" si="7"/>
        <v>599.55030527369854</v>
      </c>
      <c r="D22" s="5">
        <f t="shared" si="1"/>
        <v>19.785160074032053</v>
      </c>
      <c r="E22" s="5">
        <f t="shared" si="2"/>
        <v>59.355480222096162</v>
      </c>
      <c r="F22" s="4">
        <f t="shared" si="3"/>
        <v>8665.9001124260394</v>
      </c>
      <c r="G22" s="6">
        <f t="shared" si="4"/>
        <v>60661.300786982276</v>
      </c>
      <c r="H22" s="4">
        <f t="shared" si="5"/>
        <v>2757.3318539537399</v>
      </c>
      <c r="I22" s="7">
        <f t="shared" si="6"/>
        <v>24.815986685583656</v>
      </c>
      <c r="J22" s="8">
        <f>Assumptions!B9*$B$16</f>
        <v>1.0309999999999999</v>
      </c>
      <c r="K22" s="8">
        <f t="shared" si="8"/>
        <v>25.585282272836746</v>
      </c>
      <c r="L22" s="8">
        <f t="shared" si="9"/>
        <v>19.518889344831578</v>
      </c>
    </row>
    <row r="23" spans="1:12" x14ac:dyDescent="0.25">
      <c r="A23">
        <f t="shared" si="0"/>
        <v>5</v>
      </c>
      <c r="B23">
        <f t="shared" si="10"/>
        <v>2024</v>
      </c>
      <c r="C23" s="5">
        <f t="shared" si="7"/>
        <v>621.33002316765374</v>
      </c>
      <c r="D23" s="5">
        <f t="shared" si="1"/>
        <v>20.503890764532574</v>
      </c>
      <c r="E23" s="5">
        <f t="shared" si="2"/>
        <v>61.511672293597726</v>
      </c>
      <c r="F23" s="4">
        <f t="shared" si="3"/>
        <v>8980.7041548652687</v>
      </c>
      <c r="G23" s="6">
        <f t="shared" si="4"/>
        <v>62864.929084056879</v>
      </c>
      <c r="H23" s="4">
        <f t="shared" si="5"/>
        <v>2857.4967765480401</v>
      </c>
      <c r="I23" s="7">
        <f t="shared" si="6"/>
        <v>25.717470988932359</v>
      </c>
      <c r="J23" s="8">
        <f>Assumptions!B10*$B$16</f>
        <v>1.0309999999999999</v>
      </c>
      <c r="K23" s="8">
        <f t="shared" si="8"/>
        <v>26.514712589589259</v>
      </c>
      <c r="L23" s="8">
        <f t="shared" si="9"/>
        <v>18.904623629358767</v>
      </c>
    </row>
    <row r="24" spans="1:12" x14ac:dyDescent="0.25">
      <c r="A24">
        <f t="shared" si="0"/>
        <v>6</v>
      </c>
      <c r="B24">
        <f t="shared" si="10"/>
        <v>2025</v>
      </c>
      <c r="C24" s="5">
        <f t="shared" si="7"/>
        <v>643.90092756817523</v>
      </c>
      <c r="D24" s="5">
        <f t="shared" si="1"/>
        <v>21.248730609749785</v>
      </c>
      <c r="E24" s="5">
        <f t="shared" si="2"/>
        <v>63.746191829249355</v>
      </c>
      <c r="F24" s="4">
        <f t="shared" si="3"/>
        <v>9306.9440070704059</v>
      </c>
      <c r="G24" s="6">
        <f t="shared" si="4"/>
        <v>65148.608049492839</v>
      </c>
      <c r="H24" s="4">
        <f t="shared" si="5"/>
        <v>2961.300365886038</v>
      </c>
      <c r="I24" s="7">
        <f t="shared" si="6"/>
        <v>26.651703292974339</v>
      </c>
      <c r="J24" s="8">
        <f>Assumptions!B11*$B$16</f>
        <v>1.0309999999999999</v>
      </c>
      <c r="K24" s="8">
        <f t="shared" si="8"/>
        <v>27.477906095056543</v>
      </c>
      <c r="L24" s="8">
        <f t="shared" si="9"/>
        <v>18.309689053201282</v>
      </c>
    </row>
    <row r="25" spans="1:12" x14ac:dyDescent="0.25">
      <c r="A25">
        <f t="shared" si="0"/>
        <v>7</v>
      </c>
      <c r="B25">
        <f t="shared" si="10"/>
        <v>2026</v>
      </c>
      <c r="C25" s="5">
        <f t="shared" si="7"/>
        <v>667.29175971476036</v>
      </c>
      <c r="D25" s="5">
        <f t="shared" si="1"/>
        <v>22.020628070587094</v>
      </c>
      <c r="E25" s="5">
        <f t="shared" si="2"/>
        <v>66.061884211761281</v>
      </c>
      <c r="F25" s="4">
        <f t="shared" si="3"/>
        <v>9645.0350949171479</v>
      </c>
      <c r="G25" s="6">
        <f t="shared" si="4"/>
        <v>67515.245664420043</v>
      </c>
      <c r="H25" s="4">
        <f t="shared" si="5"/>
        <v>3068.8748029281837</v>
      </c>
      <c r="I25" s="7">
        <f t="shared" si="6"/>
        <v>27.619873226353651</v>
      </c>
      <c r="J25" s="8">
        <f>Assumptions!B12*$B$16</f>
        <v>1.0309999999999999</v>
      </c>
      <c r="K25" s="8">
        <f t="shared" si="8"/>
        <v>28.47608929637061</v>
      </c>
      <c r="L25" s="8">
        <f t="shared" si="9"/>
        <v>17.733477259197365</v>
      </c>
    </row>
    <row r="26" spans="1:12" x14ac:dyDescent="0.25">
      <c r="A26">
        <f t="shared" si="0"/>
        <v>8</v>
      </c>
      <c r="B26">
        <f t="shared" si="10"/>
        <v>2027</v>
      </c>
      <c r="C26" s="5">
        <f t="shared" si="7"/>
        <v>691.53230492291232</v>
      </c>
      <c r="D26" s="5">
        <f t="shared" si="1"/>
        <v>22.820566062456109</v>
      </c>
      <c r="E26" s="5">
        <f t="shared" si="2"/>
        <v>68.461698187368327</v>
      </c>
      <c r="F26" s="4">
        <f t="shared" si="3"/>
        <v>9995.4079353557754</v>
      </c>
      <c r="G26" s="6">
        <f t="shared" si="4"/>
        <v>69967.855547490428</v>
      </c>
      <c r="H26" s="4">
        <f t="shared" si="5"/>
        <v>3180.3570703404739</v>
      </c>
      <c r="I26" s="7">
        <f t="shared" si="6"/>
        <v>28.623213633064264</v>
      </c>
      <c r="J26" s="8">
        <f>Assumptions!B13*$B$16</f>
        <v>1.0309999999999999</v>
      </c>
      <c r="K26" s="8">
        <f t="shared" si="8"/>
        <v>29.510533255689253</v>
      </c>
      <c r="L26" s="8">
        <f t="shared" si="9"/>
        <v>17.17539903538049</v>
      </c>
    </row>
    <row r="27" spans="1:12" x14ac:dyDescent="0.25">
      <c r="A27">
        <f t="shared" si="0"/>
        <v>9</v>
      </c>
      <c r="B27">
        <f t="shared" si="10"/>
        <v>2028</v>
      </c>
      <c r="C27" s="5">
        <f t="shared" si="7"/>
        <v>716.65343051203536</v>
      </c>
      <c r="D27" s="5">
        <f t="shared" si="1"/>
        <v>23.649563206897167</v>
      </c>
      <c r="E27" s="5">
        <f t="shared" si="2"/>
        <v>70.948689620691496</v>
      </c>
      <c r="F27" s="4">
        <f t="shared" si="3"/>
        <v>10358.508684620958</v>
      </c>
      <c r="G27" s="6">
        <f t="shared" si="4"/>
        <v>72509.560792346703</v>
      </c>
      <c r="H27" s="4">
        <f t="shared" si="5"/>
        <v>3295.8891269248502</v>
      </c>
      <c r="I27" s="7">
        <f t="shared" si="6"/>
        <v>29.663002142323649</v>
      </c>
      <c r="J27" s="8">
        <f>Assumptions!B14*$B$16</f>
        <v>1.0309999999999999</v>
      </c>
      <c r="K27" s="8">
        <f t="shared" si="8"/>
        <v>30.58255520873568</v>
      </c>
      <c r="L27" s="8">
        <f t="shared" si="9"/>
        <v>16.634883712473929</v>
      </c>
    </row>
    <row r="28" spans="1:12" x14ac:dyDescent="0.25">
      <c r="A28">
        <f t="shared" si="0"/>
        <v>10</v>
      </c>
      <c r="B28">
        <f t="shared" si="10"/>
        <v>2029</v>
      </c>
      <c r="C28" s="5">
        <f t="shared" si="7"/>
        <v>742.68712511112653</v>
      </c>
      <c r="D28" s="5">
        <f t="shared" si="1"/>
        <v>24.508675128667178</v>
      </c>
      <c r="E28" s="5">
        <f t="shared" si="2"/>
        <v>73.526025386001535</v>
      </c>
      <c r="F28" s="4">
        <f t="shared" si="3"/>
        <v>10734.799706356223</v>
      </c>
      <c r="G28" s="6">
        <f t="shared" si="4"/>
        <v>75143.597944493566</v>
      </c>
      <c r="H28" s="4">
        <f t="shared" si="5"/>
        <v>3415.6180883860711</v>
      </c>
      <c r="I28" s="7">
        <f t="shared" si="6"/>
        <v>30.740562795474638</v>
      </c>
      <c r="J28" s="8">
        <f>Assumptions!B15*$B$16</f>
        <v>1.0309999999999999</v>
      </c>
      <c r="K28" s="8">
        <f t="shared" si="8"/>
        <v>31.693520242134348</v>
      </c>
      <c r="L28" s="8">
        <f t="shared" si="9"/>
        <v>16.111378580346344</v>
      </c>
    </row>
    <row r="29" spans="1:12" x14ac:dyDescent="0.25">
      <c r="A29">
        <f t="shared" si="0"/>
        <v>11</v>
      </c>
      <c r="B29">
        <f t="shared" si="10"/>
        <v>2030</v>
      </c>
      <c r="C29" s="5">
        <f t="shared" si="7"/>
        <v>769.66653939231628</v>
      </c>
      <c r="D29" s="5">
        <f t="shared" si="1"/>
        <v>25.398995799946437</v>
      </c>
      <c r="E29" s="5">
        <f t="shared" si="2"/>
        <v>76.196987399839315</v>
      </c>
      <c r="F29" s="4">
        <f t="shared" si="3"/>
        <v>11124.76016037654</v>
      </c>
      <c r="G29" s="6">
        <f t="shared" si="4"/>
        <v>77873.321122635782</v>
      </c>
      <c r="H29" s="4">
        <f t="shared" si="5"/>
        <v>3539.6964146652626</v>
      </c>
      <c r="I29" s="7">
        <f t="shared" si="6"/>
        <v>31.85726773198736</v>
      </c>
      <c r="J29" s="8">
        <f>Assumptions!B16*$B$16</f>
        <v>1.0309999999999999</v>
      </c>
      <c r="K29" s="8">
        <f t="shared" si="8"/>
        <v>32.844843031678963</v>
      </c>
      <c r="L29" s="8">
        <f t="shared" si="9"/>
        <v>15.604348322831697</v>
      </c>
    </row>
    <row r="30" spans="1:12" x14ac:dyDescent="0.25">
      <c r="A30">
        <f t="shared" si="0"/>
        <v>12</v>
      </c>
      <c r="B30">
        <f t="shared" si="10"/>
        <v>2031</v>
      </c>
      <c r="C30" s="5">
        <f t="shared" si="7"/>
        <v>797.62602828412651</v>
      </c>
      <c r="D30" s="5">
        <f t="shared" si="1"/>
        <v>26.321658933376177</v>
      </c>
      <c r="E30" s="5">
        <f t="shared" si="2"/>
        <v>78.964976800128539</v>
      </c>
      <c r="F30" s="4">
        <f t="shared" si="3"/>
        <v>11528.886612818767</v>
      </c>
      <c r="G30" s="6">
        <f t="shared" si="4"/>
        <v>80702.206289731374</v>
      </c>
      <c r="H30" s="4">
        <f t="shared" si="5"/>
        <v>3668.2821040786989</v>
      </c>
      <c r="I30" s="7">
        <f t="shared" si="6"/>
        <v>33.014538936708291</v>
      </c>
      <c r="J30" s="8">
        <f>Assumptions!B17*$B$16</f>
        <v>1.0309999999999999</v>
      </c>
      <c r="K30" s="8">
        <f t="shared" si="8"/>
        <v>34.037989643746243</v>
      </c>
      <c r="L30" s="8">
        <f t="shared" si="9"/>
        <v>15.113274470335627</v>
      </c>
    </row>
    <row r="31" spans="1:12" x14ac:dyDescent="0.25">
      <c r="A31">
        <f t="shared" si="0"/>
        <v>13</v>
      </c>
      <c r="B31">
        <f t="shared" si="10"/>
        <v>2032</v>
      </c>
      <c r="C31" s="5">
        <f t="shared" si="7"/>
        <v>826.60119471819871</v>
      </c>
      <c r="D31" s="5">
        <f t="shared" si="1"/>
        <v>27.277839425700559</v>
      </c>
      <c r="E31" s="5">
        <f t="shared" si="2"/>
        <v>81.833518277101675</v>
      </c>
      <c r="F31" s="4">
        <f t="shared" si="3"/>
        <v>11947.693668456845</v>
      </c>
      <c r="G31" s="6">
        <f t="shared" si="4"/>
        <v>83633.855679197906</v>
      </c>
      <c r="H31" s="4">
        <f t="shared" si="5"/>
        <v>3801.5388945089958</v>
      </c>
      <c r="I31" s="7">
        <f t="shared" si="6"/>
        <v>34.213850050580959</v>
      </c>
      <c r="J31" s="8">
        <f>Assumptions!B18*$B$16</f>
        <v>1.0309999999999999</v>
      </c>
      <c r="K31" s="8">
        <f t="shared" si="8"/>
        <v>35.274479402148962</v>
      </c>
      <c r="L31" s="8">
        <f t="shared" si="9"/>
        <v>14.637654869668337</v>
      </c>
    </row>
    <row r="32" spans="1:12" x14ac:dyDescent="0.25">
      <c r="A32">
        <f t="shared" si="0"/>
        <v>14</v>
      </c>
      <c r="B32">
        <f t="shared" si="10"/>
        <v>2033</v>
      </c>
      <c r="C32" s="5">
        <f t="shared" si="7"/>
        <v>856.62893496519951</v>
      </c>
      <c r="D32" s="5">
        <f t="shared" si="1"/>
        <v>28.268754853851586</v>
      </c>
      <c r="E32" s="5">
        <f t="shared" si="2"/>
        <v>84.806264561554755</v>
      </c>
      <c r="F32" s="4">
        <f t="shared" si="3"/>
        <v>12381.714625986995</v>
      </c>
      <c r="G32" s="6">
        <f t="shared" si="4"/>
        <v>86672.002381908969</v>
      </c>
      <c r="H32" s="4">
        <f t="shared" si="5"/>
        <v>3939.6364719049529</v>
      </c>
      <c r="I32" s="7">
        <f t="shared" si="6"/>
        <v>35.456728247144575</v>
      </c>
      <c r="J32" s="8">
        <f>Assumptions!B19*$B$16</f>
        <v>1.0309999999999999</v>
      </c>
      <c r="K32" s="8">
        <f t="shared" si="8"/>
        <v>36.555886822806052</v>
      </c>
      <c r="L32" s="8">
        <f t="shared" si="9"/>
        <v>14.177003170562227</v>
      </c>
    </row>
    <row r="33" spans="1:12" x14ac:dyDescent="0.25">
      <c r="A33">
        <f t="shared" si="0"/>
        <v>15</v>
      </c>
      <c r="B33">
        <f t="shared" si="10"/>
        <v>2034</v>
      </c>
      <c r="C33" s="5">
        <f t="shared" si="7"/>
        <v>887.74748561763261</v>
      </c>
      <c r="D33" s="5">
        <f t="shared" si="1"/>
        <v>29.295667025381878</v>
      </c>
      <c r="E33" s="5">
        <f t="shared" si="2"/>
        <v>87.887001076145637</v>
      </c>
      <c r="F33" s="4">
        <f t="shared" si="3"/>
        <v>12831.502157117264</v>
      </c>
      <c r="G33" s="6">
        <f t="shared" si="4"/>
        <v>89820.515099820841</v>
      </c>
      <c r="H33" s="4">
        <f t="shared" si="5"/>
        <v>4082.7506863554927</v>
      </c>
      <c r="I33" s="7">
        <f t="shared" si="6"/>
        <v>36.744756177199434</v>
      </c>
      <c r="J33" s="8">
        <f>Assumptions!B20*$B$16</f>
        <v>1.0309999999999999</v>
      </c>
      <c r="K33" s="8">
        <f t="shared" si="8"/>
        <v>37.883843618692616</v>
      </c>
      <c r="L33" s="8">
        <f t="shared" si="9"/>
        <v>13.730848328348745</v>
      </c>
    </row>
    <row r="34" spans="1:12" x14ac:dyDescent="0.25">
      <c r="A34">
        <f t="shared" si="0"/>
        <v>16</v>
      </c>
      <c r="B34">
        <f t="shared" si="10"/>
        <v>2035</v>
      </c>
      <c r="C34" s="5">
        <f t="shared" si="7"/>
        <v>919.99647227938328</v>
      </c>
      <c r="D34" s="5">
        <f t="shared" si="1"/>
        <v>30.359883585219649</v>
      </c>
      <c r="E34" s="5">
        <f t="shared" si="2"/>
        <v>91.079650755658946</v>
      </c>
      <c r="F34" s="4">
        <f t="shared" si="3"/>
        <v>13297.629010326205</v>
      </c>
      <c r="G34" s="6">
        <f t="shared" si="4"/>
        <v>93083.403072283443</v>
      </c>
      <c r="H34" s="4">
        <f t="shared" si="5"/>
        <v>4231.0637760128839</v>
      </c>
      <c r="I34" s="7">
        <f t="shared" si="6"/>
        <v>38.079573984115953</v>
      </c>
      <c r="J34" s="8">
        <f>Assumptions!B21*$B$16</f>
        <v>1.0309999999999999</v>
      </c>
      <c r="K34" s="8">
        <f t="shared" si="8"/>
        <v>39.260040777623544</v>
      </c>
      <c r="L34" s="8">
        <f t="shared" si="9"/>
        <v>13.298734122286342</v>
      </c>
    </row>
    <row r="35" spans="1:12" x14ac:dyDescent="0.25">
      <c r="A35">
        <f t="shared" si="0"/>
        <v>17</v>
      </c>
      <c r="B35">
        <f t="shared" si="10"/>
        <v>2036</v>
      </c>
      <c r="C35" s="5">
        <f t="shared" si="7"/>
        <v>953.41696002399681</v>
      </c>
      <c r="D35" s="5">
        <f t="shared" si="1"/>
        <v>31.462759680791898</v>
      </c>
      <c r="E35" s="5">
        <f t="shared" si="2"/>
        <v>94.3882790423757</v>
      </c>
      <c r="F35" s="4">
        <f t="shared" si="3"/>
        <v>13780.688740186852</v>
      </c>
      <c r="G35" s="6">
        <f t="shared" si="4"/>
        <v>96464.821181307954</v>
      </c>
      <c r="H35" s="4">
        <f t="shared" si="5"/>
        <v>4384.7645991503614</v>
      </c>
      <c r="I35" s="7">
        <f t="shared" si="6"/>
        <v>39.462881392353246</v>
      </c>
      <c r="J35" s="8">
        <f>Assumptions!B22*$B$16</f>
        <v>1.0309999999999999</v>
      </c>
      <c r="K35" s="8">
        <f t="shared" si="8"/>
        <v>40.686230715516196</v>
      </c>
      <c r="L35" s="8">
        <f t="shared" si="9"/>
        <v>12.880218689046696</v>
      </c>
    </row>
    <row r="36" spans="1:12" x14ac:dyDescent="0.25">
      <c r="A36">
        <f t="shared" si="0"/>
        <v>18</v>
      </c>
      <c r="B36">
        <f t="shared" si="10"/>
        <v>2037</v>
      </c>
      <c r="C36" s="5">
        <f t="shared" si="7"/>
        <v>988.05150568594183</v>
      </c>
      <c r="D36" s="5">
        <f t="shared" si="1"/>
        <v>32.605699687636083</v>
      </c>
      <c r="E36" s="5">
        <f t="shared" si="2"/>
        <v>97.817099062908255</v>
      </c>
      <c r="F36" s="4">
        <f t="shared" si="3"/>
        <v>14281.296463184604</v>
      </c>
      <c r="G36" s="6">
        <f t="shared" si="4"/>
        <v>99969.075242292223</v>
      </c>
      <c r="H36" s="4">
        <f t="shared" si="5"/>
        <v>4544.0488746496467</v>
      </c>
      <c r="I36" s="7">
        <f t="shared" si="6"/>
        <v>40.896439871846816</v>
      </c>
      <c r="J36" s="8">
        <f>Assumptions!B23*$B$16</f>
        <v>2.0619999999999998</v>
      </c>
      <c r="K36" s="8">
        <f t="shared" si="8"/>
        <v>84.328459015748123</v>
      </c>
      <c r="L36" s="8">
        <f t="shared" si="9"/>
        <v>24.949748141764633</v>
      </c>
    </row>
    <row r="37" spans="1:12" x14ac:dyDescent="0.25">
      <c r="A37">
        <f t="shared" si="0"/>
        <v>19</v>
      </c>
      <c r="B37">
        <f t="shared" si="10"/>
        <v>2038</v>
      </c>
      <c r="C37" s="5">
        <f t="shared" si="7"/>
        <v>1023.9442120514464</v>
      </c>
      <c r="D37" s="5">
        <f t="shared" si="1"/>
        <v>33.790158997697731</v>
      </c>
      <c r="E37" s="5">
        <f t="shared" si="2"/>
        <v>101.37047699309319</v>
      </c>
      <c r="F37" s="4">
        <f t="shared" si="3"/>
        <v>14800.089640991606</v>
      </c>
      <c r="G37" s="6">
        <f t="shared" si="4"/>
        <v>103600.62748694124</v>
      </c>
      <c r="H37" s="4">
        <f t="shared" si="5"/>
        <v>4709.1194312246016</v>
      </c>
      <c r="I37" s="7">
        <f t="shared" si="6"/>
        <v>42.38207488102141</v>
      </c>
      <c r="J37" s="8">
        <f>Assumptions!B24*$B$16</f>
        <v>2.0619999999999998</v>
      </c>
      <c r="K37" s="8">
        <f t="shared" si="8"/>
        <v>87.391838404666146</v>
      </c>
      <c r="L37" s="8">
        <f t="shared" si="9"/>
        <v>24.1645715560269</v>
      </c>
    </row>
    <row r="38" spans="1:12" x14ac:dyDescent="0.25">
      <c r="A38">
        <f t="shared" si="0"/>
        <v>20</v>
      </c>
      <c r="B38">
        <f t="shared" si="10"/>
        <v>2039</v>
      </c>
      <c r="C38" s="5">
        <f t="shared" si="7"/>
        <v>1061.1407840179106</v>
      </c>
      <c r="D38" s="5">
        <f t="shared" si="1"/>
        <v>35.017645872591054</v>
      </c>
      <c r="E38" s="5">
        <f t="shared" si="2"/>
        <v>105.05293761777315</v>
      </c>
      <c r="F38" s="4">
        <f t="shared" si="3"/>
        <v>15337.72889219488</v>
      </c>
      <c r="G38" s="6">
        <f t="shared" si="4"/>
        <v>107364.10224536416</v>
      </c>
      <c r="H38" s="4">
        <f t="shared" si="5"/>
        <v>4880.1864656983707</v>
      </c>
      <c r="I38" s="7">
        <f t="shared" si="6"/>
        <v>43.921678191285331</v>
      </c>
      <c r="J38" s="8">
        <f>Assumptions!B25*$B$16</f>
        <v>2.0619999999999998</v>
      </c>
      <c r="K38" s="8">
        <f t="shared" si="8"/>
        <v>90.566500430430338</v>
      </c>
      <c r="L38" s="8">
        <f t="shared" si="9"/>
        <v>23.404104729573618</v>
      </c>
    </row>
    <row r="39" spans="1:12" x14ac:dyDescent="0.25">
      <c r="I39" s="12">
        <f>SUM(I20:I38)</f>
        <v>616.91441529091549</v>
      </c>
      <c r="K39" s="11" t="s">
        <v>10</v>
      </c>
      <c r="L39" s="12">
        <f>SUM(L20:L38)</f>
        <v>337.30990844034886</v>
      </c>
    </row>
  </sheetData>
  <hyperlinks>
    <hyperlink ref="D14" r:id="rId1" xr:uid="{70C0D59D-FB13-44C2-B1DA-651CC238A99E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Summary</vt:lpstr>
      <vt:lpstr>Assumptions</vt:lpstr>
      <vt:lpstr>calcs-constr,design,maintenance</vt:lpstr>
      <vt:lpstr>calcs-BikePedUserBenefit</vt:lpstr>
      <vt:lpstr>calcs-PropertyValuesRoute200</vt:lpstr>
      <vt:lpstr>calcs-PropertyValuesWaterfront</vt:lpstr>
      <vt:lpstr>calculations-BikePedHealthBenef</vt:lpstr>
      <vt:lpstr>calculations-GHG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Lawson</dc:creator>
  <cp:lastModifiedBy>Megan Lawson</cp:lastModifiedBy>
  <cp:lastPrinted>2017-01-27T21:20:19Z</cp:lastPrinted>
  <dcterms:created xsi:type="dcterms:W3CDTF">2017-01-26T21:57:26Z</dcterms:created>
  <dcterms:modified xsi:type="dcterms:W3CDTF">2019-07-08T19:39:02Z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8384ef40-076d-4d6f-8b58-1fe5520cd8e4</vt:lpwstr>
  </property>
</Properties>
</file>